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80" windowWidth="20730" windowHeight="11460" firstSheet="1" activeTab="1"/>
  </bookViews>
  <sheets>
    <sheet name="Tổng hợp" sheetId="1" state="hidden" r:id="rId1"/>
    <sheet name="Tổng hợp (2)" sheetId="2" r:id="rId2"/>
    <sheet name="Nhiệm vụ QH" sheetId="3" state="hidden" r:id="rId3"/>
    <sheet name="Nhiệm vụ QH (2)" sheetId="4" r:id="rId4"/>
    <sheet name="Lập QH_Trực tiếp" sheetId="5" state="hidden" r:id="rId5"/>
    <sheet name="Lập QH_Trực tiếp (2)" sheetId="6" r:id="rId6"/>
    <sheet name="HT xin ý kiến Đề xuất" sheetId="7" r:id="rId7"/>
    <sheet name="Chi phí Hội thảo" sheetId="8" r:id="rId8"/>
    <sheet name="Chi phí thẩm định Qh" sheetId="9" r:id="rId9"/>
    <sheet name="Chi phí công bố QH" sheetId="10" r:id="rId10"/>
    <sheet name="Lựa chọn nhà thầu" sheetId="11" r:id="rId11"/>
    <sheet name="Đánh giá môi trường" sheetId="12" r:id="rId12"/>
    <sheet name="Chi phí Khác" sheetId="13" r:id="rId13"/>
    <sheet name="chi phí dự phòng" sheetId="14" r:id="rId14"/>
    <sheet name="Sheet1" sheetId="15" r:id="rId15"/>
  </sheets>
  <definedNames>
    <definedName name="_xlnm.Print_Area" localSheetId="4">'Lập QH_Trực tiếp'!$A$1:$H$260</definedName>
    <definedName name="_xlnm.Print_Area" localSheetId="5">'Lập QH_Trực tiếp (2)'!$A$1:$H$260</definedName>
    <definedName name="_xlnm.Print_Titles" localSheetId="4">'Lập QH_Trực tiếp'!$5:$5</definedName>
    <definedName name="_xlnm.Print_Titles" localSheetId="5">'Lập QH_Trực tiếp (2)'!$5:$5</definedName>
  </definedNames>
  <calcPr fullCalcOnLoad="1"/>
</workbook>
</file>

<file path=xl/sharedStrings.xml><?xml version="1.0" encoding="utf-8"?>
<sst xmlns="http://schemas.openxmlformats.org/spreadsheetml/2006/main" count="2060" uniqueCount="626">
  <si>
    <t>A</t>
  </si>
  <si>
    <t>CG1, CG2, CG3, CG4</t>
  </si>
  <si>
    <t>a</t>
  </si>
  <si>
    <t>a.1</t>
  </si>
  <si>
    <t>CG2, CG3</t>
  </si>
  <si>
    <t>a.2</t>
  </si>
  <si>
    <t>CG1, CG2, CG3</t>
  </si>
  <si>
    <t>b</t>
  </si>
  <si>
    <t>CG2, CG3, CG4</t>
  </si>
  <si>
    <t>c</t>
  </si>
  <si>
    <t>B</t>
  </si>
  <si>
    <t>Thu thập và xử lý tài liệu, số liệu</t>
  </si>
  <si>
    <t>Thu thập tài liệu, số liệu ban đầu</t>
  </si>
  <si>
    <t>b.1</t>
  </si>
  <si>
    <t>Điều tra, khảo sát, thu thập số liệu, dữ liệu</t>
  </si>
  <si>
    <t>b.2</t>
  </si>
  <si>
    <t>Điều tra, khảo sát, thu thập số liệu, dữ liệu về không gian</t>
  </si>
  <si>
    <t>b.3</t>
  </si>
  <si>
    <t>Xử lý, tổng hợp số liệu, dữ liệu (phân nhóm số liệu, dữ liệu)</t>
  </si>
  <si>
    <t>Thu thập và xử lý thông tin bên ngoài, cấp trên tác động đến tỉnh</t>
  </si>
  <si>
    <t>c.1</t>
  </si>
  <si>
    <t>Bối cảnh và các yếu tố không gian tác động trực tiếp có tác động chủ yếu đến tỉnh: kết nối giao thông, kết nối lưu vực sông, kết nối các hành lang kinh tế, liên kết vùng chức năng</t>
  </si>
  <si>
    <t>c.2</t>
  </si>
  <si>
    <t>Bối cảnh và các yếu tố về chính sách, thị trường tác động đến quá trình phát triển của tỉnh</t>
  </si>
  <si>
    <t>c.3</t>
  </si>
  <si>
    <t>Các yếu tố chủ yếu về biến đổi khí hậu tác động đến tỉnh</t>
  </si>
  <si>
    <t>c.4</t>
  </si>
  <si>
    <t>Kiểm chứng, đánh giá mức độ tin cậy của nguồn thông tin</t>
  </si>
  <si>
    <t>d</t>
  </si>
  <si>
    <t>Thu thập tài liệu, số liệu bổ sung</t>
  </si>
  <si>
    <t>d.1</t>
  </si>
  <si>
    <t>Rà soát số liệu, dữ liệu yêu cầu thu thập điều tra bổ sung</t>
  </si>
  <si>
    <t>d.2</t>
  </si>
  <si>
    <t>Rà soát số liệu, dữ liệu yêu cầu thu thập điều tra bổ sung các hợp phần</t>
  </si>
  <si>
    <t>đ</t>
  </si>
  <si>
    <t>Xử lý, tổng hợp tài liệu, số liệu</t>
  </si>
  <si>
    <t>đ.1</t>
  </si>
  <si>
    <t>Xử lý tổng hợp các thông tin và phản hồi các thông tin được cung cấp từ các hợp phần.</t>
  </si>
  <si>
    <t>đ.2</t>
  </si>
  <si>
    <t>Xử lý tổng hợp thông tin về hiện trạng không gian</t>
  </si>
  <si>
    <t>đ.3</t>
  </si>
  <si>
    <t>Xử lý thông tin hiện trạng sử dụng tài nguyên</t>
  </si>
  <si>
    <t>đ.4</t>
  </si>
  <si>
    <t>Xử lý thông tin về hiện trạng dân số, lao động- việc làm, y tế, giáo dục, văn hóa</t>
  </si>
  <si>
    <t>đ.5</t>
  </si>
  <si>
    <t>Xử lý thông tin về hiện trạng môi trường</t>
  </si>
  <si>
    <t>đ.6</t>
  </si>
  <si>
    <t>Xử lý thông tin về hiện trạng về kinh tế</t>
  </si>
  <si>
    <t>đ.7</t>
  </si>
  <si>
    <t>Xử lý thông tin về hiện trạng phát triển đô thị và nông thôn</t>
  </si>
  <si>
    <t>đ.8</t>
  </si>
  <si>
    <t>Xử lý thông tin về hiện trạng phát triển các khu chức năng tổng hợp</t>
  </si>
  <si>
    <t>đ.9</t>
  </si>
  <si>
    <t>Xử lý thông tin về hiện trạng hạ tầng kỹ thuật</t>
  </si>
  <si>
    <t>đ.10</t>
  </si>
  <si>
    <t>Xử lý thông tin về hiện trạng hạ tầng xã hội</t>
  </si>
  <si>
    <t>Phân tích, đánh giá, dự báo về các yếu tố, điều kiện phát triển đặc thù của địa phương</t>
  </si>
  <si>
    <t>Phân tích, đánh giá vị thế, vai trò của tỉnh đối với vùng và quốc gia</t>
  </si>
  <si>
    <t>Đánh giá thực trạng phát triển kinh tế - xã hội, hiện trạng sử dụng đất, hiện trạng hệ thống đô thị và nông thôn</t>
  </si>
  <si>
    <t>Đánh giá thực trạng các ngành và lĩnh vực xã hội của tỉnh gồm dân số, lao động, việc làm, y tế, giáo dục, văn hóa, thể thao, khoa học và công nghệ</t>
  </si>
  <si>
    <t>Xác định, khoanh vùng các đối tượng lãnh thổ đã được khai thác chủ yếu cho các hoạt động kinh tế, xã hội</t>
  </si>
  <si>
    <t>Đánh giá sự phù hợp về bố trí không gian các khu chức năng, cực tăng trưởng, các tuyến hạ tầng kỹ thuật  tỉnh và công trình hạ tầng xã hội cấp tỉnh, các khu chức năng đặc thù</t>
  </si>
  <si>
    <t>Sự phù hợp về quy mô phát triển các công trình quan trọng cấp tỉnh</t>
  </si>
  <si>
    <t>Tổng hợp đánh giá điểm mạnh, điểm yếu, cơ hội, thách thức (SWOT)</t>
  </si>
  <si>
    <t>Xây dựng các kịch bản phát triển tỉnh</t>
  </si>
  <si>
    <t>Luận chứng lựa chọn kịch bản phát triển</t>
  </si>
  <si>
    <t>Xác định quan điểm và mục tiêu phát triển tỉnh</t>
  </si>
  <si>
    <t>Xây dựng tư tưởng chủ đạo, tổ chức tham vấn từ đó xác định quan điểm quy hoạch</t>
  </si>
  <si>
    <t>Xác định các nhiệm vụ trọng tâm cần giải quyết và các khâu đột phá của tỉnh trong thời kỳ quy hoạch.</t>
  </si>
  <si>
    <t>Đề xuất các chỉ tiêu theo nhóm tổng hợp chung</t>
  </si>
  <si>
    <t>Đề xuất các chỉ tiêu về không gian</t>
  </si>
  <si>
    <t>Xác định ngành quan trọng của tỉnh và mục tiêu phát triển</t>
  </si>
  <si>
    <t>Sắp xếp và tổ chức không gian phát triển ngành quan trọng của tỉnh</t>
  </si>
  <si>
    <t>e</t>
  </si>
  <si>
    <t>g</t>
  </si>
  <si>
    <t>h</t>
  </si>
  <si>
    <t xml:space="preserve">Định hướng sử dụng đất của tỉnh trong thời kỳ quy hoạch </t>
  </si>
  <si>
    <t xml:space="preserve">Xác định diện tích các loại đất cần thu hồi để thực hiện các công trình, dự án sử dụng đất vào các mục đích quy định tại Điều 61 và Điều 62 của Luật Đất đai số 45/2013/QH13 thực hiện trong thời kỳ quy hoạch đến từng đơn vị hành chính cấp huyện. </t>
  </si>
  <si>
    <t>Xác định diện tích các loại đất cần chuyển mục đích sử dụng đất trong kỳ quy hoạch quy định tại các điểm a, b, c, d và e khoản 1 Điều 57 Luật Đất đai số 45/2013/QH13 đến từng đơn vị hành chính cấp huyện</t>
  </si>
  <si>
    <t>Xác định diện tích đất chưa sử dụng đưa vào sử dụng trong kỳ quy hoạch đến từng đơn vị hành chính cấp huyện;</t>
  </si>
  <si>
    <t>Lập bản đồ quy hoạch sử dụng đất cấp tỉnh</t>
  </si>
  <si>
    <t>Xác định phạm vi, tính chất, hướng phát triển trọng tâm của từng vùng liên huyện, vùng huyện</t>
  </si>
  <si>
    <t>Bố trí, sắp xếp hệ thống các thị trấn, trung tâm cụm xã theo nhu cầu phân bố sản xuất và phân bố dân cư tại từng vùng liên huyện, vùng huyện</t>
  </si>
  <si>
    <t>Định hướng hạ tầng xã hội, hạ tầng kỹ thuật theo từng vùng liên huyện, vùng huyện.</t>
  </si>
  <si>
    <t>Xây dựng nguyên tắc và cơ chế phối hợp thực hiện biện pháp quản lý và bảo vệ môi trường trên địa bàn tỉnh</t>
  </si>
  <si>
    <t>Phương án về phân vùng môi trường theo vùng bảo vệ nghiêm ngặt, vùng hạn chế phát thải và vùng khác đã được định hướng trong quy hoạch bảo vệ môi trường quốc gia</t>
  </si>
  <si>
    <t>Xác định mục tiêu, chỉ tiêu bảo tồn đa dạng sinh học tỉnh; xác định tên gọi, vị trí địa lý, quy mô diện tích, bản đồ, mục tiêu, tổ chức và biện pháp quản lý đối với các khu vực đa dạng sinh học cao, vùng đất ngập nước quan trọng, khu vực cảnh quan sinh thái quan trọng, hành lang đa dạng sinh học, khu bảo tồn thiên nhiên, cơ sở bảo tồn đa dạng sinh học trên địa bàn tỉnh</t>
  </si>
  <si>
    <t>Phương án phát triển bền vững rừng đặc dụng, rừng phòng hộ, rừng sản xuất và phát triển kết cấu hạ tầng lâm nghiệp trên địa bàn tỉnh</t>
  </si>
  <si>
    <t>Sắp xếp, phân bố không gian các khu nghĩa trang, khu xử lý chất thải liên huyện</t>
  </si>
  <si>
    <t>Phương án bảo vệ, khai thác, sử dụng, tài nguyên trên địa bàn tỉnh</t>
  </si>
  <si>
    <t>Phân vùng khai thác, sử dụng, bảo vệ tài nguyên trên địa bàn tỉnh</t>
  </si>
  <si>
    <t>Khoanh định chi tiết khu vực mỏ, loại tài nguyên khoáng sản cần đầu tư thăm dò, khai thác và tiến độ thăm dò, khai thác; khu vực thăm dò khai thác được giới hạn bởi các đoạn thẳng nối các điểm khép góc thể hiện trên bản đồ địa hình hệ tọa độ quốc gia với tỷ lệ thích hợp</t>
  </si>
  <si>
    <t>Phương án khai thác, sử dụng, bảo vệ tài nguyên nước, phòng, chống khắc phục hậu quả tác hại do nước gây ra</t>
  </si>
  <si>
    <t>Phân vùng chức năng của nguồn nước; xác định tỷ lệ, thứ tự ưu tiên phân bổ trong trường hợp bình thường và hạn hán, thiếu nước; xác định nguồn nước dự phòng để cấp nước sinh hoạt; xác định hệ thống giám sát tài nguyên nước và khai thác, sử dụng nước; xác định công trình điều tiết, khai thác, sử dụng, phát triển tài nguyên nước</t>
  </si>
  <si>
    <t>Xác định các giải pháp bảo vệ nguồn nước, phục hồi nguồn nước bị ô nhiễm hoặc bị suy thoái, cạn kiệt để bảo đảm chức năng của nguồn nước; xác định hệ thống giám sát chất lượng nước, giám sát xả nước thải vào nguồn nước</t>
  </si>
  <si>
    <t>Đánh giá tổng quát hiệu quả và tác động của biện pháp phòng, chống và khắc phục hậu quả tác hại do nước gây ra hiện có; xác định các giải pháp nâng cao chất lượng, hiệu quả hoạt động phòng, chống, khắc phục, cảnh báo, dự báo và giảm thiểu tác hại do nước gây ra</t>
  </si>
  <si>
    <t>Phương án phòng, chống thiên tai và ứng phó với biến đổi khí hậu trên địa bàn tỉnh</t>
  </si>
  <si>
    <t>Phân vùng rủi ro đối với từng loại hình thiên tai trên địa bàn</t>
  </si>
  <si>
    <t>Xây dựng nguyên tắc và cơ chế phối hợp thực hiện biện pháp quản lý rủi ro thiên tai</t>
  </si>
  <si>
    <t>Xây dựng phương án quản lý rủi ro thiên tai, thích ứng với biến đổi khí hậu trên địa bàn tỉnh</t>
  </si>
  <si>
    <t>Xây dựng phương án phòng chống lũ của các tuyến sông có đê, phương án phát triển hệ thống đê điều và kết cấu hạ tầng phòng, chống thiên tai trên địa bàn tỉnh</t>
  </si>
  <si>
    <t>Xây dựng tiêu chí xác định dự án ưu tiên đầu tư của tỉnh trong thời kỳ quy hoạch</t>
  </si>
  <si>
    <t>Luận chứng xây dựng danh mục dự án quan trọng của tỉnh, sắp xếp thứ tự ưu tiên và phân kỳ thực hiện các dự án</t>
  </si>
  <si>
    <t>CG3, CG4</t>
  </si>
  <si>
    <t xml:space="preserve">Luận chứng về khả năng đáp ứng về nguồn lực </t>
  </si>
  <si>
    <t>Giải pháp, nguồn lực thực hiện quy hoạch</t>
  </si>
  <si>
    <t>CG1, CG2, CG3,</t>
  </si>
  <si>
    <t>Xây dựng hệ thống bản đồ được tích hợp theo hệ thống bản đồ chuyên ngành và các bản đồ tích hợp theo nhóm ngành</t>
  </si>
  <si>
    <t>Biên tập hệ thống bản đồ sản phẩm cuối cùng</t>
  </si>
  <si>
    <t xml:space="preserve">Bản đồ phương án quy hoạch hệ thống đô thị, nông thôn </t>
  </si>
  <si>
    <t xml:space="preserve">Bản đồ phương án phát triển kết cấu hạ tầng xã hội </t>
  </si>
  <si>
    <t>Xây dựng báo cáo quy hoạch</t>
  </si>
  <si>
    <t>Xây dựng báo cáo tổng hợp</t>
  </si>
  <si>
    <t>Xây dựng báo cáo tóm tắt</t>
  </si>
  <si>
    <t>Xử lý, tích hợp báo cáo đánh giá môi trường chiến lược vào báo cáo quy hoạch tỉnh</t>
  </si>
  <si>
    <t>Xử lý, tích hợp đánh giá ĐMC về thực trạng thực hiện quy hoạch giai đoạn trước</t>
  </si>
  <si>
    <t>Xử lý, tích hợp đánh giá ĐMC về các định hướng quy hoạch</t>
  </si>
  <si>
    <t>Xử lý, tích hợp các giải pháp về ĐMC và các kiến nghị với quy hoạch</t>
  </si>
  <si>
    <t>Nội dung 
(2)</t>
  </si>
  <si>
    <t>Mức chuyên gia
(3)</t>
  </si>
  <si>
    <t>Ngày công quy đổi tỉnh chuẩn
(4)</t>
  </si>
  <si>
    <t>Hệ số K3</t>
  </si>
  <si>
    <t>Đánh giá, thẩm định sự phù hợp với nhiệm vụ lập quy hoạch đã được phê duyệt</t>
  </si>
  <si>
    <t>Đánh giá, thẩm định việc tuân thủ quy trình lập quy hoạch quy định tại Điều 16 của Luật Quy hoạch</t>
  </si>
  <si>
    <t>Đánh giá, thẩm định việc tích hợp các nội dung quy hoạch do Bộ, cơ quan ngang Bộ và địa phương liên quan được phân công thực hiện</t>
  </si>
  <si>
    <t>Dự báo xu thế phát triển và các kịch bản phát triển, mục tiêu, chỉ tiêu cụ thể về kinh tế, xã hội, môi trường của tỉnh</t>
  </si>
  <si>
    <t>Phương hướng phát triển ngành quan trọng trên địa bàn; lựa chọn phương án tổ chức hoạt động kinh tế - xã hội</t>
  </si>
  <si>
    <t>Phương án quy hoạch hệ thống đô thị, mạng lưới giao thông, mạng lưới cấp điện, mạng lưới viễn thông, mạng lưới thủy lợi, các khu xử lý chất thải, kết cấu hạ tầng xã hội</t>
  </si>
  <si>
    <t>Phân bổ và khoanh vùng đất đai theo khu chức năng và theo loại đất đến từng đơn vị hành chính cấp huyện, Phương án quy hoạch xây dựng vùng liên huyện, vùng huyện</t>
  </si>
  <si>
    <t>Phương án bảo vệ môi trường, khai thác, sử dụng, bảo vệ tài nguyên, đa dạng sinh học, phòng, chống thiên tai và ứng phó với biến đổi khí hậu trên địa bàn</t>
  </si>
  <si>
    <t>Danh mục dự án của tỉnh và thứ tự ưu tiên thực hiện</t>
  </si>
  <si>
    <t>Lấy ý kiến cộng đồng</t>
  </si>
  <si>
    <t>C</t>
  </si>
  <si>
    <t>Phương án phát triển mạng lưới cấp điện, bao gồm: Phương án phát triển các công trình cấp điện và mạng lưới truyền tải điện đã được xác định trong quy hoạch cấp quốc gia, quy hoạch vùng trên địa bàn; mạng lưới điện truyền tải và lưới điện phân phối</t>
  </si>
  <si>
    <t>Phương án phát triển mạng lưới viễn thông, bao gồm: Phương án phát triển các tuyến viễn thông quốc tế, quốc gia, liên tỉnh đã được xác định trong quy hoạch cấp quốc gia, quy hoạch vùng trên địa bàn; phương án phát triển hạ tầng kỹ thuật kỹ thuật viễn thông thụ động; công trình viễn thông quan trọng liên quan đến an ninh quốc gia và công trình viễn thông của tỉnh</t>
  </si>
  <si>
    <t>Phương án phát triển mạng lưới thuỷ lợi, cấp nước bao gồm: Phương án phát triển mạng lưới thuỷ lợi, mạng lưới cấp nước quy mô vùng, liên tỉnh đã được xác định trong quy hoạch cấp quốc gia, quy hoạch vùng trên địa bàn; mạng lưới thuỷ lợi, cấp nước liên huyện</t>
  </si>
  <si>
    <t>Phương án phát triển các khu xử lý chất thải, bao gồm: Phương án phát triển các khu xử lý chất thải nguy hại cấp vùng, liên tỉnh đã được xác định trong quy hoạch cấp quốc gia, quy hoạch vùng trên địa bàn; mạng lưới thuỷ lợi, cấp nước liên huyện</t>
  </si>
  <si>
    <t>Phương án phát triển kết cấu hạ tầng xã hội, bao gồm: Phương án phát triển các dự án hạ tầng xã hội cấp quốc gia, cấp vùng, liên tỉnh đã được xác định trong quy hoạch cấp quốc gia, quy hoạch vùng trên địa bàn; các thiết chế văn hoá, thể thao, du lịch, trung tâm thương mại, hội chợ, triển lãm và các công trình hạ tầng xã hội khác của tỉnh</t>
  </si>
  <si>
    <t>Phân tích, tổng hợp đánh giá về vị trí địa lý, điều kiện tự nhiên</t>
  </si>
  <si>
    <t>Phân tích, tổng hợp đánh giá về điều kiện xã hội</t>
  </si>
  <si>
    <t>Phân tích, tổng hợp đánh giá điều kiện về tài nguyên thiên nhiên và môi trường</t>
  </si>
  <si>
    <t>Các yếu tố, điều kiện của vùng, quốc gia, quốc tế tác động đến phát triển tỉnh</t>
  </si>
  <si>
    <t>Các yếu tố, điều kiện bối cảnh quốc tế tác động đến phát triển tỉnh</t>
  </si>
  <si>
    <t>Các yếu tố, điều kiện bối cảnh quốc gia, vùng tác động đến phát triển tỉnh</t>
  </si>
  <si>
    <t>Các yếu tố tác động từ các tỉnh, khu vực lân cận</t>
  </si>
  <si>
    <t>Các nguy cơ và tác động của thiên tai, biến đổi khí hậu trên địa bàn tỉnh</t>
  </si>
  <si>
    <t>Đánh giá hiện trạng phát triển kinh tế và thực trạng phát triển các ngành nông nghiệp, công nghiệp, dịch vụ trên địa bàn tỉnh; khả năng huy động nguồn lực</t>
  </si>
  <si>
    <t>Đánh giá tiềm năng đất đai và hiện trạng sử dụng đất của tỉnh, tính hợp lý và hiệu quả sử dụng đất của tỉnh</t>
  </si>
  <si>
    <t>Đánh giá thực trạng phát triển và sự phù hợp về phân bố phát triển không gian của hệ thống đô thị và nông thôn, các khu chức năng, hạ tầng kỹ thuật, hạ tầng xã hội trên địa bàn tỉnh</t>
  </si>
  <si>
    <t>d.3</t>
  </si>
  <si>
    <t>d.4</t>
  </si>
  <si>
    <t>Sự phù hợp về sức chứa lãnh thổ</t>
  </si>
  <si>
    <t>Xác định những tồn tại, hạn chế cần giải quyết; phân tích, đánh giá điểm mạnh, điểm yếu, cơ hội, thách thức</t>
  </si>
  <si>
    <t>Xác định những tồn tại, hạn chế cần được giải quyết</t>
  </si>
  <si>
    <t>Xây dựng quan điểm về phát triển tỉnh trong thời kỳ quy hoạch</t>
  </si>
  <si>
    <t>Xây dựng quan điểm về tổ chức, sắp xếp không gian phát triển các hoạt động kinh tế - xã hội, quốc phòng, an ninh, phát triển kết cấu hạ tầng, sử dụng tài nguyên và bảo vệ môi trường trên địa bàn tỉnh trong thời kỳ quy hoạch</t>
  </si>
  <si>
    <t>Xây dựng kịch bản phát triển và lựa chọn phương án phát triển tỉnh</t>
  </si>
  <si>
    <t>Mục tiêu, chỉ tiêu cụ thể về kinh tế, xã hội, quốc phòng, an ninh, phát triển kết cấu hạ tầng, sử dụng tài nguyên và bảo vệ môi trường gắn với tổ chức, sắp xếp không gian phát triển của tỉnh trong thời kỳ quy hoạch</t>
  </si>
  <si>
    <t>Đề xuất các mục tiêu về kinh tế gắn với tổ chức, sắp xếp không gian phát triển của tỉnh trong thời kỳ quy hoạch</t>
  </si>
  <si>
    <t>Đề xuất các mục tiêu về xã hội gắn với tổ chức, sắp xếp không gian phát triển của tỉnh trong thời kỳ quy hoạch</t>
  </si>
  <si>
    <t>Đề xuất các mục tiêu về môi trường, quốc phòng, an ninh (gắn với tổ chức, sắp xếp không gian phát triển của tỉnh trong thời kỳ quy hoạch</t>
  </si>
  <si>
    <t>d.5</t>
  </si>
  <si>
    <t>d.6</t>
  </si>
  <si>
    <t>Đề xuất các chỉ tiêu tổng hợp theo các nội dung đề xuất</t>
  </si>
  <si>
    <t>Phương hướng phát triển các ngành quan trọng trên địa bàn tỉnh</t>
  </si>
  <si>
    <t>Đề xuất giải pháp phát triển ngành quan trọng của tỉnh</t>
  </si>
  <si>
    <t>Lựa chọn phương án tổ chức hoạt động kinh tế - xã hội, bao gồm các hoạt động</t>
  </si>
  <si>
    <t>Bố trí không gian các công trình, dự án quan trọng, các vùng bảo tồn đã được xác định ở quy hoạch cấp quốc gia, quy hoạch cấp vùng trên địa bàn tỉnh</t>
  </si>
  <si>
    <t>Xác định phương án kết nối hệ thống kết cấu hạ tầng của tỉnh với hệ thống kết cấu hạ tầng quốc gia và vùng</t>
  </si>
  <si>
    <t>Xây dựng phương án tổ chức không gian các hoạt động kinh tế - xã hội của tỉnh, xác định khu vực khuyến khích phát triển và khu vực hạn chế phát triển</t>
  </si>
  <si>
    <t>Lựa chọn phương án sắp xếp không gian và phân bổ nguồn lực cho các hoạt động kinh tế - xã hội, quốc phòng, an ninh, bảo vệ môi trường ở cấp tỉnh, liên huyện</t>
  </si>
  <si>
    <t>Xây dựng các nội dung cụ thể theo Quy định tại các điểm d, đ, e, g, h, i và k khoản 2 Điều 27 Luật Quy hoạch</t>
  </si>
  <si>
    <t>Lập phương án phân bổ và khoanh vùng đất đai theo khu chức năng và theo loại đất đến từng đơn vị hành chính cấp huyện</t>
  </si>
  <si>
    <t>Xác định chỉ tiêu sử dụng đất theo loại đất, bao gồm chỉ tiêu sử dụng đất do quy hoạch sử dụng đất quốc gia phân bổ và chỉ tiêu sử dụng đất theo nhu cầu sử dụng đất cấp tỉnh gồm: đất trồng cây lâu năm; đất ở tại nông thôn; đất ở tại đô thị; đất xây dựng trụ sở cơ quan; đất xây dựng trụ sở của tổ chức sự nghiệp; đất xây dựng cơ sở ngoại giao; đất cụm công nghiệp; đất thương mại - dịch vụ; đất cơ sở sản xuất phi nông nghiệp; đất sử dụng cho hoạt động khoáng sản; đất di tích lịch sử - văn hóa; đất danh lam thắng cảnh; đất phát triển hạ tầng cấp tỉnh gồm đất xây dựng cơ sở văn hóa, cơ sở y tế, cơ sở giáo dục và đào tạo, cơ sở thể dục thể thao, đất giao thông, đất thủy lợi, đất công trình năng lượng, đất công trình bưu chính viễn thông; cơ sở tôn giáo; đất làm nghĩa trang, nhà tang lễ, nhà hỏa táng</t>
  </si>
  <si>
    <t>Xác định chỉ tiêu sử dụng đất theo khu chức năng gồm khu sản xuất nông nghiệp, khu lâm nghiệp, khu du lịch, khu bảo tồn thiên nhiên và đa dạng sinh học, khu phát triển công nghiệp, khu đô thị, khu thương mại - dịch vụ, khu dân cư nông thôn</t>
  </si>
  <si>
    <t>Tổng hợp nhu cầu sử dụng đất, cân đối để xác định các chỉ tiêu sử dụng đất nêu tại điểm b mục này đến từng đơn vị hành chính cấp huyện</t>
  </si>
  <si>
    <t>Phương án quy hoạch xây dựng vùng liên huyện, vùng huyện</t>
  </si>
  <si>
    <t>Phương án bảo vệ môi trường, bảo tồn thiên nhiên và đa dạng sinh học trên địa bàn tỉnh</t>
  </si>
  <si>
    <t>Phương án về vị trí, quy mô, loại hình chất thải, công nghệ dự kiến, phạm vi tiếp nhận chất thải để xử lý của các khu xử lý chất thải tập trung cấp quốc gia, cấp vùng đã được định hướng trong quy hoạch bảo vệ môi trường quốc gia trên địa bàn tỉnh</t>
  </si>
  <si>
    <t>Phương án về điểm, thông số, tần suất quan trắc chất lượng môi trường đất, nước, không khí quốc gia, liên tỉnh và tỉnh đã được định hướng trong quy hoạch tổng thể quan trắc môi trường quốc gia</t>
  </si>
  <si>
    <t>Xây dựng danh mục dự án của tỉnh và thứ tự ưu tiên thực hiện</t>
  </si>
  <si>
    <t>Xác định danh mục các dự án ưu tiên từ ngân sách và danh mục thu hút đầu tư cấp tỉnh theo thứ tự ưu tiên và phân kỳ thực hiện dự án</t>
  </si>
  <si>
    <t>Xây dựng giải pháp, nguồn lực thực hiện quy hoạch</t>
  </si>
  <si>
    <t>Giải pháp về huy động vốn đầu tư</t>
  </si>
  <si>
    <t>Giải pháp về phát triển nguồn nhân lực</t>
  </si>
  <si>
    <t>Giải pháp về môi trường, khoa học và công nghệ</t>
  </si>
  <si>
    <t>Giải pháp về cơ chế, chính sách liên kết phát triển</t>
  </si>
  <si>
    <t>Giải pháp về quản lý, kiểm soát phát triển đô thị và nông thôn</t>
  </si>
  <si>
    <t>Giải pháp về tổ chức thực hiện và giám sát thực hiện quy hoạch</t>
  </si>
  <si>
    <t>Xây dựng hệ thống bản đồ</t>
  </si>
  <si>
    <t>Nghiên cứu, xử lý tổng hợp các loại bản đồ hiện trạng và định hướng theo các chuyên ngành và nhóm ngành</t>
  </si>
  <si>
    <t>Xử lý, chồng lớp bản đồ theo các đối tượng không gian cấp quốc gia, cấp vùng, cấp tỉnh</t>
  </si>
  <si>
    <t>Các bản đồ về hiện trạng phát triển</t>
  </si>
  <si>
    <t xml:space="preserve">Bản đồ đánh giá tổng hợp đất đai theo các mục đích sử dụng </t>
  </si>
  <si>
    <t xml:space="preserve">Bản đồ phương án tổ chức không gian và phân vùng chức năng </t>
  </si>
  <si>
    <t xml:space="preserve">Bản đồ phương án phát triển kết cấu hạ tầng kỹ thuật </t>
  </si>
  <si>
    <t xml:space="preserve">Bản đồ phương án quy hoạch sử dụng đất </t>
  </si>
  <si>
    <t xml:space="preserve">Bản đồ phương án thăm dò, khai thác, sử dụng, bảo vệ tài nguyên </t>
  </si>
  <si>
    <t xml:space="preserve">Bản đồ phương án bảo vệ môi trường, bảo tồn đa dạng sinh học, phòng, chống thiên tai và ứng phó biến đổi khí hậu </t>
  </si>
  <si>
    <t xml:space="preserve">Bản đồ phương án quy hoạch xây dựng vùng liên huyện, vùng huyện </t>
  </si>
  <si>
    <t xml:space="preserve">Bản đồ vị trí các dự án và thứ tự ưu tiên thực hiện </t>
  </si>
  <si>
    <t>Bản đồ chuyên đề (nếu có)</t>
  </si>
  <si>
    <t>Xây dựng cơ sở dữ liệu của quy hoạch</t>
  </si>
  <si>
    <t>Xây dựng cơ sở dữ liệu của quy hoạch theo yêu cầu chung của hệ thống thông tin và cơ sở dữ liệu quốc gia về quy hoạch</t>
  </si>
  <si>
    <t xml:space="preserve">Thể hiện nội dung của quy hoạch trên bản đồ GIS để tích hợp vào hệ thống thông tin và cơ sở dữ liệu quốc gia về quy hoạch   để tích hợp vào hệ thống thông tin và cơ sở dữ liệu quốc gia về quy hoạch  </t>
  </si>
  <si>
    <t>c </t>
  </si>
  <si>
    <t>Mục tiêu tổng quát phát triển tỉnh trong thời kỳ quy hoạch 10 năm, tầm nhìn từ 20 đến 30 năm </t>
  </si>
  <si>
    <t>Đề xuất phương án tổ chức liên kết không gian các hoạt động kinh tế - xã hội của tỉnh, cơ chế phối hợp tổ chức phát triển không gian liên huyện</t>
  </si>
  <si>
    <t>Đánh giá, thẩm định sự phù hợp của quy hoạch với quy định tại Điều 28 Nghị định số 37/2019/NĐ-CP</t>
  </si>
  <si>
    <t>Phân tích, đánh giá, dự báo về các yếu tố, điều kiện phát triển đặc thù của tỉnh</t>
  </si>
  <si>
    <t>Đánh giá thực trạng phát triển kinh tế - xã hội, hiện trạng sử dụng đất, hiện trạng hệ thống đô thị, nông thôn</t>
  </si>
  <si>
    <t>d.7</t>
  </si>
  <si>
    <t>d.8</t>
  </si>
  <si>
    <t>d.9</t>
  </si>
  <si>
    <t>Chủ trì</t>
  </si>
  <si>
    <t>Thư ký</t>
  </si>
  <si>
    <t>Khảo sát trên địa bàn</t>
  </si>
  <si>
    <t>Tiền thuê xe</t>
  </si>
  <si>
    <t>Khảo sát và làm việc với tỉnh Vân Nam - Trung Quốc</t>
  </si>
  <si>
    <t>Hội thảo đầu kỳ</t>
  </si>
  <si>
    <t>Tổ chức Hội thảo, hội nghị đánh giá giữa kỳ và các nội dung tích hợp</t>
  </si>
  <si>
    <t>Tổ chức hội thảo hội nghị tổng kết đánh giá</t>
  </si>
  <si>
    <t>Tổ chức hội thảo hội nghị lấy ý kiến chuyên gia, các sở/ngành và các tỉnh liền kề</t>
  </si>
  <si>
    <t>Họp giải trình và hoàn thiện báo cáo tổng kết</t>
  </si>
  <si>
    <t>Tổ chức thẩm định quy hoạch</t>
  </si>
  <si>
    <t>Công bố Quy hoạch</t>
  </si>
  <si>
    <t>Hội nghị công bố Quy hoạch</t>
  </si>
  <si>
    <t>Các hình thức công bố Quy hoạch khác</t>
  </si>
  <si>
    <t>b4</t>
  </si>
  <si>
    <t>b.5</t>
  </si>
  <si>
    <t>b.6</t>
  </si>
  <si>
    <t>b.7</t>
  </si>
  <si>
    <t>b.8</t>
  </si>
  <si>
    <t>b.9</t>
  </si>
  <si>
    <t>b.10</t>
  </si>
  <si>
    <t>b.11</t>
  </si>
  <si>
    <t>b.12</t>
  </si>
  <si>
    <t>I</t>
  </si>
  <si>
    <t>II</t>
  </si>
  <si>
    <t>KINH PHÍ TRỰC TIẾP CHO HOẠT ĐỘNG LẬP QUY HOẠCH</t>
  </si>
  <si>
    <t>Lựa chọn tổ chức tư vấn lập quy hoạch</t>
  </si>
  <si>
    <t>Chi phí khảo sát</t>
  </si>
  <si>
    <t>TỔNG KINH PHÍ XÂY DỰNG VÀ HOÀN THIỆN NỘI DUNG ĐỀ XUẤT</t>
  </si>
  <si>
    <t>Nội dung đề xuất các ngành/phân ngành</t>
  </si>
  <si>
    <t>Nội dung đề xuất cấp huyện</t>
  </si>
  <si>
    <t>Phương án phát triển mạng lưới giao thông, bao gồm: Phương án phát triển mạng lưới đường cao tốc, quốc lộ, đường sắt; các tuyến đường thuỷ nội địa; sân bay; mạng lưới đường bộ, đương thuỷ liên tỉnh đã được xác định trong quy hoạch cấp quốc gia, quy hoạch vùng trên địa bàn, mạng lưới đường tỉnh</t>
  </si>
  <si>
    <t>- Căn cứ theo Luật Quy hoạch ngày 24/11/2017;
- Căn cứ theo Nghị định số 37/2019/NĐ-CP ngày 07/5/2019 của Chính phủ quy định chi tiết thi hành một số điều của Luật Quy hoạch;
- Căn cứ theo Thông tư số 08/2019/TT-BKHĐT ngày 17/5/2019 của Bộ Kế hoạch và Đầu tư hướng dẫn về định mức cho hoạt động quy hoạch;
- Căn cứ theo Thông tư số 113/2018/TT-BTC ngày 15/11/2018 của Bộ Tài chính quy định về giá trong hoạt động quy hoạch;</t>
  </si>
  <si>
    <t>Ngành kinh tế</t>
  </si>
  <si>
    <t>Ngành kết cấu hạ tầng kỹ thuật</t>
  </si>
  <si>
    <t>Sử dụng đất</t>
  </si>
  <si>
    <t>Ngành xã hội</t>
  </si>
  <si>
    <t>Bài viết nhận xét</t>
  </si>
  <si>
    <t>Quyết định hoặc phê duyệt quy hoạch</t>
  </si>
  <si>
    <t>Tổ chức hội thảo, hội nghị, tọa đàm, tham vấn, lấy ý kiến, thuê tư vấn phản biện</t>
  </si>
  <si>
    <t>Chi phí quản lý chung (bao gồm cả chi phí mua sắm, thuê thiết bị, vật tư, văn phòng phẩm…)</t>
  </si>
  <si>
    <t>Khảo sát và làm việc với các địa phương lân cận có liên quan và các tỉnh trong cả nước</t>
  </si>
  <si>
    <t>Thuê tư vấn phản biện</t>
  </si>
  <si>
    <t>Đại biểu</t>
  </si>
  <si>
    <t>Chi phí lập, thẩm định HS mời quan tâm (0,08% chi phí trực tiếp)</t>
  </si>
  <si>
    <t>Chi phí lập, thẩm định HS mời thầu (0,15% chi phí trực tiếp)</t>
  </si>
  <si>
    <t>Chi phí đánh giá hồ sơ (0,15% chi phí trực tiếp)</t>
  </si>
  <si>
    <t>Chi phí thẩm định lựa chọn nhà thầu (0,05% chi phí trực tiếp)</t>
  </si>
  <si>
    <t>Chi phí cho Hội đồng tư vấn giải quyết kiến nghị</t>
  </si>
  <si>
    <t>Giá chuyên gia cao nhất (1000 đồng)
(6)</t>
  </si>
  <si>
    <t>Hệ số (K = H1T x H2T x H3Tx K1)
(5)</t>
  </si>
  <si>
    <t>CchuẩnT</t>
  </si>
  <si>
    <t>Hệ số K1</t>
  </si>
  <si>
    <t>CchuẩnĐXT</t>
  </si>
  <si>
    <t>CđxĐN</t>
  </si>
  <si>
    <t>K1 x K3</t>
  </si>
  <si>
    <t>Không gian biển</t>
  </si>
  <si>
    <t>Quận, huyện</t>
  </si>
  <si>
    <r>
      <t xml:space="preserve"> </t>
    </r>
    <r>
      <rPr>
        <b/>
        <sz val="12"/>
        <color indexed="8"/>
        <rFont val="Times New Roman"/>
        <family val="1"/>
      </rPr>
      <t>TT
(1)</t>
    </r>
  </si>
  <si>
    <t>STT</t>
  </si>
  <si>
    <t>2.1</t>
  </si>
  <si>
    <t>Phạm vi, ranh giới, thời kỳ lập quy hoạch</t>
  </si>
  <si>
    <t>2.2</t>
  </si>
  <si>
    <t>Quan điểm, mục tiêu, nguyên tắc lập quy hoạch</t>
  </si>
  <si>
    <t>2.3</t>
  </si>
  <si>
    <t>Dự báo triển vọng và nhu cầu phát triển trong thời kỳ quy hoạch</t>
  </si>
  <si>
    <t>2.4</t>
  </si>
  <si>
    <t>2.5</t>
  </si>
  <si>
    <t>Đánh giá môi trường chiến lược</t>
  </si>
  <si>
    <t>Thành phần, số lượng, tiêu chuẩn, quy cách hồ sơ quy hoạch</t>
  </si>
  <si>
    <t>Xây dựng các yêu cầu về tính khoa học, tính thực tiễn, độ tin cậy của phương pháp tiếp cận và phương pháp lập quy hoạch</t>
  </si>
  <si>
    <t xml:space="preserve">Xây dựng kế hoạch và tiến độ lập quy hoạch </t>
  </si>
  <si>
    <t xml:space="preserve">Xây dựng các dự thảo văn bản trình thẩm định và phê duyệt </t>
  </si>
  <si>
    <t>Ngày công quy đổi</t>
  </si>
  <si>
    <t>Thành tiền</t>
  </si>
  <si>
    <t>a.3</t>
  </si>
  <si>
    <t>a.5</t>
  </si>
  <si>
    <t>a.4</t>
  </si>
  <si>
    <t>a.6</t>
  </si>
  <si>
    <t>CG2, CG4</t>
  </si>
  <si>
    <t>CG1, CG3</t>
  </si>
  <si>
    <t>CG2</t>
  </si>
  <si>
    <t>CG1</t>
  </si>
  <si>
    <t>Ghi chú:</t>
  </si>
  <si>
    <t>Số lượng</t>
  </si>
  <si>
    <t>Đơn giá</t>
  </si>
  <si>
    <t>Ghi chú</t>
  </si>
  <si>
    <t>Thuê phòng khách sạn</t>
  </si>
  <si>
    <t>Tiền vé máy bay khứ hồi cho các đại biểu trong nước</t>
  </si>
  <si>
    <t>Người</t>
  </si>
  <si>
    <t>Chế độ cho đại biểu tham gia Hội thảo (tiền ăn) đến ngày trước Hội thảo</t>
  </si>
  <si>
    <t>Chế độ cho đại biểu tham dự Hội thảo (tiền ăn)</t>
  </si>
  <si>
    <t>Tiệc tea break tại Hội thảo</t>
  </si>
  <si>
    <t>Chi phí thuê Hội trường, âm thanh, ánh sáng</t>
  </si>
  <si>
    <t>Gói</t>
  </si>
  <si>
    <t>Chi phí in ấn giấy mời, backdrop, bảng tên…</t>
  </si>
  <si>
    <t>Chủ trì Hội thảo</t>
  </si>
  <si>
    <t>Thư ký Hội thảo</t>
  </si>
  <si>
    <t>Tham luận Trình bày tại hội thảo</t>
  </si>
  <si>
    <t>Báo cáo</t>
  </si>
  <si>
    <t>Thành viên tham gia Hội thảo</t>
  </si>
  <si>
    <t>Chi phí biên tập và in tài liệu Hội thảo</t>
  </si>
  <si>
    <t>Bộ</t>
  </si>
  <si>
    <t>Chi phí bồi dưỡng cho phóng viên, báo chí đưa tin Hội thảo</t>
  </si>
  <si>
    <t>Đơn vị</t>
  </si>
  <si>
    <t>Phòng</t>
  </si>
  <si>
    <t>Nội dung</t>
  </si>
  <si>
    <t>Tổng cộng</t>
  </si>
  <si>
    <t>Chế độ cho đại biểu (tiền ăn) đến ngày trước Hội thảo</t>
  </si>
  <si>
    <t>Số cuộc</t>
  </si>
  <si>
    <t xml:space="preserve">Tổ chức Hội thảo với 204 đại biểu </t>
  </si>
  <si>
    <t>204 người x 01 ngày</t>
  </si>
  <si>
    <t>204 người x 01 buổi</t>
  </si>
  <si>
    <t>XÁC ĐỊNH CHI PHÍ TỔ CHỨC HỘI NGHỊ, HỘI THẢO, TỌA ĐÀM, THAM VẤN, LẤY Ý KIẾN CHUYÊN GIA,
Ý KIẾN CỘNG ĐỒNG VỀ QUY HOẠCH</t>
  </si>
  <si>
    <t>Chuyên gia</t>
  </si>
  <si>
    <t>Đánh giá, thẩm định việc tuân thủ quy trình lập quy hoạch quy định tại Điều 16 Luật Quy hoạch</t>
  </si>
  <si>
    <t>Phân tích, đánh giá, dự báo về các yếu tố, điều kiện phát triển đặc thù của thành phố</t>
  </si>
  <si>
    <t>Dự báo xu thế phát triển và các kịch bản phát triển, mục tiêu, chỉ tiêu cụ thể về kinh tế, xã hội, môi trường của thành phố</t>
  </si>
  <si>
    <t>Phân bổ và khoanh vùng đất đai theo khu chức năng và theo loại đất đến từng đơn vị hành chính cấp quận, huyện. Phương án quy hoạch xây dựng vùng liên huyện.</t>
  </si>
  <si>
    <t>Số lượng/cuộc</t>
  </si>
  <si>
    <t>Báo cáo viên, trình bày tại hội thảo, hội nghị công bố</t>
  </si>
  <si>
    <t>Đại biểu tham dự</t>
  </si>
  <si>
    <t>Chi phí in ấn tài liệu</t>
  </si>
  <si>
    <t>Giải khát giữa giờ</t>
  </si>
  <si>
    <t>CHI PHÍ CÔNG BỐ QUY HOẠCH</t>
  </si>
  <si>
    <t>TỔNG KINH PHÍ CHO HOẠT ĐỘNG LẬP QUY HOẠCH: (A)+(B)</t>
  </si>
  <si>
    <t>Chi phí hoạt động trực tiếp lập quy hoạch</t>
  </si>
  <si>
    <t>Chi phí tổ chức hội nghị, hội thảo, tọa đàm, tham vấn, lấy ý kiến chuyên gia, ý kiến cộng đồng về quy hoạch</t>
  </si>
  <si>
    <t>Chi phí xây dựng nội dung đề xuất tích hợp vào quy hoạch</t>
  </si>
  <si>
    <t>Tỉ lệ</t>
  </si>
  <si>
    <t>(%)</t>
  </si>
  <si>
    <t>Lập hồ sơ mời thầu</t>
  </si>
  <si>
    <t>Thẩm định hồ sơ mời thầu</t>
  </si>
  <si>
    <t>Đánh giá hồ sơ dự thầu</t>
  </si>
  <si>
    <t>Thẩm định kết quả lựa chọn nhà thầu</t>
  </si>
  <si>
    <t>Tổng chi phí đấu thầu</t>
  </si>
  <si>
    <t>CHI PHÍ TỔ CHỨC LỰA CHỌN ĐƠN VỊ TƯ VẤN</t>
  </si>
  <si>
    <t>Tổng giá trị gói thầu đấu thầu rộng rãi</t>
  </si>
  <si>
    <t>GĐMC chuẩn</t>
  </si>
  <si>
    <t xml:space="preserve"> H1</t>
  </si>
  <si>
    <t>H2</t>
  </si>
  <si>
    <t>H3</t>
  </si>
  <si>
    <r>
      <t>G</t>
    </r>
    <r>
      <rPr>
        <vertAlign val="subscript"/>
        <sz val="12"/>
        <color indexed="17"/>
        <rFont val="Times New Roman"/>
        <family val="1"/>
      </rPr>
      <t>ĐMC</t>
    </r>
    <r>
      <rPr>
        <sz val="12"/>
        <color indexed="17"/>
        <rFont val="Times New Roman"/>
        <family val="1"/>
      </rPr>
      <t xml:space="preserve"> = G</t>
    </r>
    <r>
      <rPr>
        <vertAlign val="subscript"/>
        <sz val="12"/>
        <color indexed="17"/>
        <rFont val="Times New Roman"/>
        <family val="1"/>
      </rPr>
      <t>ĐMC chuẩn</t>
    </r>
    <r>
      <rPr>
        <sz val="12"/>
        <color indexed="17"/>
        <rFont val="Times New Roman"/>
        <family val="1"/>
      </rPr>
      <t xml:space="preserve"> x H</t>
    </r>
    <r>
      <rPr>
        <vertAlign val="subscript"/>
        <sz val="12"/>
        <color indexed="17"/>
        <rFont val="Times New Roman"/>
        <family val="1"/>
      </rPr>
      <t xml:space="preserve">1 </t>
    </r>
    <r>
      <rPr>
        <sz val="12"/>
        <color indexed="17"/>
        <rFont val="Times New Roman"/>
        <family val="1"/>
      </rPr>
      <t>x H</t>
    </r>
    <r>
      <rPr>
        <vertAlign val="subscript"/>
        <sz val="12"/>
        <color indexed="17"/>
        <rFont val="Times New Roman"/>
        <family val="1"/>
      </rPr>
      <t>2</t>
    </r>
    <r>
      <rPr>
        <sz val="12"/>
        <color indexed="17"/>
        <rFont val="Times New Roman"/>
        <family val="1"/>
      </rPr>
      <t xml:space="preserve"> x H</t>
    </r>
    <r>
      <rPr>
        <vertAlign val="subscript"/>
        <sz val="12"/>
        <color indexed="17"/>
        <rFont val="Times New Roman"/>
        <family val="1"/>
      </rPr>
      <t>3</t>
    </r>
  </si>
  <si>
    <t>GĐMCCĐ = GĐMC chuẩn x (0,4 + 0,6 x LCĐ/LHT)</t>
  </si>
  <si>
    <t>CHI PHÍ LẬP BÁO CÁO ĐÁNH GIÁ MÔI TRƯỜNG CHIẾN LƯỢC</t>
  </si>
  <si>
    <t>Khi có sự điều chỉnh về mức lương tối thiểu thì áp dụng công thức chuyển đổi để tính chi phí lập báo cáo đánh giá môi trường chiến lược</t>
  </si>
  <si>
    <t>Đơn Giá</t>
  </si>
  <si>
    <t>Phòng, Ban trong Sở Kế hoạch và Đầu tư</t>
  </si>
  <si>
    <t>Bộ, cơ quan ngang Bộ</t>
  </si>
  <si>
    <r>
      <t xml:space="preserve">Chi phí khác </t>
    </r>
    <r>
      <rPr>
        <sz val="12"/>
        <color indexed="8"/>
        <rFont val="Times New Roman"/>
        <family val="1"/>
      </rPr>
      <t>(in ấn sản phẩm xin ý kiến, văn phòng phẩm…..)</t>
    </r>
  </si>
  <si>
    <t>CHI PHÍ KHÁC</t>
  </si>
  <si>
    <t>Chi phí hoạt động trực tiếp</t>
  </si>
  <si>
    <t>Chi phí hoạt động gián tiếp</t>
  </si>
  <si>
    <t>Chi phí lựa chọn tổ chức tư vấn</t>
  </si>
  <si>
    <t>Chi phí thẩm định, quyết định hoặc phê duyệt quy hoạch</t>
  </si>
  <si>
    <t>Chi phí công bố quy hoạch</t>
  </si>
  <si>
    <t>III</t>
  </si>
  <si>
    <t>Chi phí lập Báo cáo đánh giá tác động môi trường</t>
  </si>
  <si>
    <t>IV</t>
  </si>
  <si>
    <t>Chi phí lập nội dung đề xuất tích hợp vào Quy hoạch</t>
  </si>
  <si>
    <t>Tổng chi phí để tính chi phí dự phòng</t>
  </si>
  <si>
    <t>CHI PHÍ LẬP NHIỆM VỤ QUY HOẠCH</t>
  </si>
  <si>
    <t>1.1</t>
  </si>
  <si>
    <t>1.2</t>
  </si>
  <si>
    <t>1.3</t>
  </si>
  <si>
    <t>1.4</t>
  </si>
  <si>
    <t>1.5</t>
  </si>
  <si>
    <t>1.6</t>
  </si>
  <si>
    <t>CHI PHÍ LẬP QUY HOẠCH</t>
  </si>
  <si>
    <t>1.7</t>
  </si>
  <si>
    <t>1.8</t>
  </si>
  <si>
    <t>1.9</t>
  </si>
  <si>
    <t>1.10</t>
  </si>
  <si>
    <t>1.11</t>
  </si>
  <si>
    <t>1.12</t>
  </si>
  <si>
    <t>1.13</t>
  </si>
  <si>
    <t>1.14</t>
  </si>
  <si>
    <t>1.15</t>
  </si>
  <si>
    <t>1.16</t>
  </si>
  <si>
    <t>1.17</t>
  </si>
  <si>
    <t>1.18</t>
  </si>
  <si>
    <t>1.19</t>
  </si>
  <si>
    <t>V</t>
  </si>
  <si>
    <t>Chi phí dự phòng</t>
  </si>
  <si>
    <t>Làm tròn</t>
  </si>
  <si>
    <t>Chi phí khác</t>
  </si>
  <si>
    <t>Căn cứ quy định tại Khoản 2 Điều 4 Thông tư 02/2015/TT-BLĐTBXH về mức lương theo tuần, theo ngày và theo giờ của chuyên gia tư vấn thì mức lương theo ngày của từng loại chuyên gia được các định như sau:
- Ngày công đối với chuyên gia loại 1 (CG1) = 40.000.000/26 x 1,3 = 2.000.000 đồng/ngày;
- Ngày công đối với chuyên gia loại 2 (CG2)  = 30.000.000/26 x 1,3 = 1.500.000 đồng/ngày;
- Ngày công đối với chuyên gia loại 3 (CG3)  = 20.000.000/26 x 1,3 = 1.000.000 đồng/ngày.</t>
  </si>
  <si>
    <t>TT</t>
  </si>
  <si>
    <t>Họ tên</t>
  </si>
  <si>
    <t>Chức vụ</t>
  </si>
  <si>
    <t>Hệ số đang hưởng</t>
  </si>
  <si>
    <t>Tổng lương kiêm nhiệm</t>
  </si>
  <si>
    <t>Lương</t>
  </si>
  <si>
    <t>PC 
chức vụ</t>
  </si>
  <si>
    <t>Cộng</t>
  </si>
  <si>
    <t>Lương/tháng</t>
  </si>
  <si>
    <t>Lương kiêm nhiệm/tháng</t>
  </si>
  <si>
    <t>Chi phí quản lý khác</t>
  </si>
  <si>
    <t>PGĐ Sở</t>
  </si>
  <si>
    <t>CVC, bậc 1</t>
  </si>
  <si>
    <t>07 trưởng phòng chuyên môn</t>
  </si>
  <si>
    <t>03 CVC, bậc 1</t>
  </si>
  <si>
    <t>04 CV, bậc 2</t>
  </si>
  <si>
    <t>Trong đó:</t>
  </si>
  <si>
    <t>03 phó phòng</t>
  </si>
  <si>
    <t>01 CVC bậc 1</t>
  </si>
  <si>
    <t>02 CV, bậc 3</t>
  </si>
  <si>
    <t>04 chuyên viên</t>
  </si>
  <si>
    <t>CV bậc 3</t>
  </si>
  <si>
    <t xml:space="preserve">Tổ chức Hội thảo với 50 đại biểu </t>
  </si>
  <si>
    <t>5 x 1 đêm</t>
  </si>
  <si>
    <t xml:space="preserve">Chi phí tổ chức hội thảo tham vấn ý kiến về nội dung đề xuất tích hợp vào quy hoạch </t>
  </si>
  <si>
    <t>2.2,1</t>
  </si>
  <si>
    <t>2,2,2</t>
  </si>
  <si>
    <t xml:space="preserve">Chi phí tổ chức hội thảo </t>
  </si>
  <si>
    <t>Chi phí tổ chức hội nghị, hội thảo, tọa đàm</t>
  </si>
  <si>
    <t>Thư ký hành chính</t>
  </si>
  <si>
    <t>Nhận xét của chuyên gia phản biện</t>
  </si>
  <si>
    <t>Đại biểu tham dự cuộc họp</t>
  </si>
  <si>
    <t>Hiện trạng phát triển giai đoạn 2011-2020 và định hướng, giải pháp phát triển ngành công nghiệp, đặc biệt là công nghiệp công nghệ cao, công nghệ thông tin, công nghiệp hỗ trợ, chế biến, chế tạo tỉnh Thừa Thiên Huế thời kỳ 2021-2030, tầm nhìn đến năm 2050</t>
  </si>
  <si>
    <t>Hiện trạng phát triển giai đoạn 2011-2020 và định hướng, giải pháp phát triển ngành dịch vụ thương mại và hệ thống kết cấu hạ tầng thương mại của tỉnh Thừa Thiên Huế thời kỳ 2021-2030, tầm nhìn đến năm 2050</t>
  </si>
  <si>
    <t>Hiện trạng phát triển giai đoạn 2011-2020 và phương án phát triển kết cấu hạ tầng năng lượng, điện lực, dự trữ, cung ứng xăng dầu, khí đốt tỉnh Thừa Thiên Huế thời kỳ 2021-2030, tầm nhìn đến năm 2050</t>
  </si>
  <si>
    <t xml:space="preserve">Hiện trạng phát triển giai đoạn 2011-2020 và định hướng, giải pháp phát triển ngành du lịch, đặc biệt chú trọng phát triển sản phẩm du lịch, thị trường du lịch; kết cấu hạ tầng phục vụ phát triển du lịch, các khu, điểm du lịch tỉnh Thừa Thiên Huế thời kỳ 2021-2030, tầm nhìn đến năm 2050 </t>
  </si>
  <si>
    <t xml:space="preserve">Hiện trạng phát triển giai đoạn 2011-2020 và phương án quy hoạch phát triển Vườn Quốc gia Bạch Mã thời kỳ 2021-2030, tầm nhìn đến năm 2050 </t>
  </si>
  <si>
    <t>Kỹ thuật chuyên ngành khác</t>
  </si>
  <si>
    <t>Hiện trạng phát triển giai đoạn 2011-2020 và phương án quy hoạch, giải pháp phát triển hệ thống hạ tầng phòng, chống thiên tai và thủy lợi tỉnh Thừa Thiên Huế thời kỳ 2021-2030, tầm nhìn đến năm 2050</t>
  </si>
  <si>
    <t>Hiện trạng công tác bảo vệ và phát triển rừng giai đoạn 2011-2020 và phương án quy hoạch bảo vệ và phát triển rừng tỉnh Thừa Thiên Huế thời kỳ 2021-2030, tầm nhìn đến năm 2050</t>
  </si>
  <si>
    <t>Hiện trạng phát triển giai đoạn 2011-2020 và định hướng, giải pháp phát triển dịch vụ vận tải, kết cấu hạ tầng giao thông vận tải và hạ tầng logistics tỉnh Thừa Thiên Huế thời kỳ 2021-2030, tầm nhìn đến năm 2050</t>
  </si>
  <si>
    <t>Nghiên cứu định hướng phát triển cảng hàng không quốc tế Phú Bài; cảng nước sâu Chân Mây, Cảng Điền Lộc; giao thông kết nối các tỉnh vùng KTTĐ miền Trung và Tây Nguyên; Lào; tiểu vùng sông Mê Công và hành lang kinh tế Đông - Tây</t>
  </si>
  <si>
    <r>
      <t xml:space="preserve">Hiện trạng phát triển giai đoạn 2011-2020 và định hướng, giải pháp phát triển công nghiệp công nghệ thông tin, viễn thông gắn với </t>
    </r>
    <r>
      <rPr>
        <b/>
        <i/>
        <sz val="13"/>
        <rFont val="Times New Roman"/>
        <family val="1"/>
      </rPr>
      <t>kinh tế số</t>
    </r>
    <r>
      <rPr>
        <sz val="13"/>
        <color indexed="10"/>
        <rFont val="Times New Roman"/>
        <family val="1"/>
      </rPr>
      <t xml:space="preserve"> tỉnh Thừa Thiên Huế thời kỳ 2021-2030, tầm nhìn đến năm 2050</t>
    </r>
  </si>
  <si>
    <t>Hiện trạng phát triển giai đoạn 2011-2020 và định hướng, giải pháp phát triển lĩnh vực y tế, dịch vụ y tế và cơ sở hạ tầng, mạng lưới y tế, chăm sóc sức khỏe trên địa bàn tỉnh Thừa Thiên Huế thời kỳ 2021-2030, tầm nhìn đến năm 2050</t>
  </si>
  <si>
    <t>Hiện trạng phát triển giai đoạn 2011-2020 và định hướng, giải pháp phát triển, thu hút nguồn nhân lực theo nhu cầu phát triển tỉnh Thừa Thiên Huế thời kỳ 2021-2030, tầm nhìn đến năm 2050</t>
  </si>
  <si>
    <t>Hiện trạng phát triển giai đoạn 2011-2020 và định hướng, giải pháp phát triển lĩnh vực văn hóa, thể thao, cơ sở hạ tầng, mạng lưới thiết chế văn hóa, thể thao tỉnh Thừa Thiên Huế thời kỳ 2021-2030, tầm nhìn đến năm 2050</t>
  </si>
  <si>
    <t>Đánh giá, phân tích hiện trạng hệ thống di tích giai đoạn 2011-2020 và định hướng, giải pháp quy hoạch hệ thống di tích trên địa bàn tỉnh Thừa Thừa Thiên Huế thời kỳ 2021-2030, tầm nhìn đến năm 2050</t>
  </si>
  <si>
    <t>Đánh giá, phân tích hiện trạng phát triển giai đoạn 2011-2020 và định hướng, giải pháp phát triển lĩnh vực khoa học và công nghệ, khởi nghiệp đổi mới sáng tạo tỉnh Thừa Thiên Huế thời kỳ 2021-2030, tầm nhìn đến năm 2050</t>
  </si>
  <si>
    <t>Nghiên cứu và đề xuất mô hình nhằm thực hiện liên kết kinh tế hiệu quả giữa Thừa Thiên Huế với Đà Nẵng, các tỉnh vùng kinh tế trọng điểm miền Trung</t>
  </si>
  <si>
    <t>Nghiên cứu và đề xuất các giải pháp phát triển doanh nghiệp, huy động nguồn lực; Xây dựng danh mục dự án và thứ tự ưu tiên; chính sách và giải pháp tạo động lực phát triển theo mục tiêu quy hoạch</t>
  </si>
  <si>
    <t>Thực trạng và quan điểm, mục tiêu về lĩnh vực quốc phòng, an ninh; định hướng phát triển vùng, khu vực đặc biệt về quốc phòng, an ninh trong thời kỳ 2021-2030, tầm nhìn đến năm 2050</t>
  </si>
  <si>
    <t>An ninh quốc phòng</t>
  </si>
  <si>
    <t xml:space="preserve">Đánh giá hiện trạng phát triển giai đoạn 2011-2020 và phương án quy hoạch phát triển đô thị, các phân khu, vùng liên huyện, vùng huyện tỉnh Thừa Thiên Huế  thời kỳ 2021-2030, tầm nhìn đến 2050 </t>
  </si>
  <si>
    <t xml:space="preserve">Nghiên cứu xác định phương hướng phát triển các vùng không gian biển thời kỳ 2021-2030, tầm nhìn đến năm 2050    </t>
  </si>
  <si>
    <t xml:space="preserve">Hiện trạng phát triển giai đoạn 2011-2020 và định hướng phát triển khai thác và đầm phá Tam Giang - Cầu Hai  thời kỳ 2021-2030, tầm nhìn đến năm 2050    </t>
  </si>
  <si>
    <t>Hiện trạng phát triển giai đoạn 2011-2020 và phương án phát triển kết cấu hạ tầng cấp, thoát nước tỉnh Thừa Thiên Huế thời kỳ 2021-2030, tầm nhìn đến năm 2050</t>
  </si>
  <si>
    <t>Hiện trạng và phương án bảo vệ môi trường, các khu xử lý chất thải, bảo tồn thiên nhiên và đa dạng sinh học; bảo vệ, khai thác, sử dụng, tài nguyên trên địa bàn tỉnh thời kỳ 2021-2030, tầm nhìn đến năm 2050</t>
  </si>
  <si>
    <t>Hiện trạng và phương án khai thác, sử dụng, bảo vệ tài nguyên nước, phòng, chống khắc phục hậu quả tác hại do nước gây ra trên địa bàn tỉnh thời kỳ 2021-2030, tầm nhìn đến năm 2050</t>
  </si>
  <si>
    <t>Lập phương án phân bổ và khoanh vùng đất đai theo khu chức năng và theo loại đất đến từng đơn vị hành chính cấp huyện của tỉnh Thừa Thiên Huế  thời kỳ 2021-2030, tầm nhìn đến năm 2050</t>
  </si>
  <si>
    <t>Hiện trạng phát triển giai đoạn 2011-2020 và định hướng, giải pháp phát triển ngành kinh tế biển tỉnh Thừa Thiên Huế thời kỳ 2021-2030, tầm nhìn đến năm 2050</t>
  </si>
  <si>
    <t>Bảo vệ môi trường</t>
  </si>
  <si>
    <t xml:space="preserve">Thực trạng, phương án phát triển và tổ chức không gian phát triển kinh tế - xã hội, kết cấu hạ tầng kinh tế - xã hội trên địa bàn thành phố Huế  thời kỳ 2021-2030, tầm nhìn đến năm 2050  </t>
  </si>
  <si>
    <t xml:space="preserve">Thực trạng, phương án phát triển và tổ chức không gian phát triển kinh tế - xã hội, kết cấu hạ tầng kinh tế - xã hội trên địa bàn  thị xã Hương Thủy  thời kỳ 2021-2030, tầm nhìn đến năm 2050  </t>
  </si>
  <si>
    <t xml:space="preserve">Thực trạng, phương án phát triển và tổ chức không gian phát triển kinh tế - xã hội, kết cấu hạ tầng kinh tế - xã hội trên địa bàn  thị xã Hương Trà  thời kỳ 2021-2030, tầm nhìn đến năm 2050  </t>
  </si>
  <si>
    <t xml:space="preserve">Thực trạng, phương án phát triển và tổ chức không gian phát triển kinh tế - xã hội, kết cấu hạ tầng kinh tế - xã hội trên địa bàn  huyện A Lưới thời kỳ 2021-2030, tầm nhìn đến năm 2050  </t>
  </si>
  <si>
    <t xml:space="preserve">Thực trạng, phương án phát triển và tổ chức không gian phát triển kinh tế - xã hội, kết cấu hạ tầng kinh tế - xã hội trên địa bàn  huyện Nam Đông  thời kỳ 2021-2030, tầm nhìn đến năm 2050  </t>
  </si>
  <si>
    <t xml:space="preserve">Thực trạng, phương án phát triển và tổ chức không gian phát triển kinh tế - xã hội, kết cấu hạ tầng kinh tế - xã hội trên địa bàn  huyện Phong Điền thời kỳ 2021-2030, tầm nhìn đến năm 2050  </t>
  </si>
  <si>
    <t xml:space="preserve">Thực trạng, phương án phát triển và tổ chức không gian phát triển kinh tế - xã hội, kết cấu hạ tầng kinh tế - xã hội trên địa bàn  huyện Phú Lộc thời kỳ 2021-2030, tầm nhìn đến năm 2050  </t>
  </si>
  <si>
    <t xml:space="preserve">Thực trạng, phương án phát triển và tổ chức không gian phát triển kinh tế - xã hội, kết cấu hạ tầng kinh tế - xã hội trên địa bàn  huyện Phú Vang thời kỳ 2021-2030, tầm nhìn đến năm 2050  </t>
  </si>
  <si>
    <t xml:space="preserve">Thực trạng, phương án phát triển và tổ chức không gian phát triển kinh tế - xã hội, kết cấu hạ tầng kinh tế - xã hội trên địa bàn  huyện Quảng Điền thời kỳ 2021-2030, tầm nhìn đến năm 2050  </t>
  </si>
  <si>
    <t>CHI PHÍ THẨM ĐỊNH QUY HOẠCH TỈNH THỪA THIÊN HUẾ THỜI KỲ 2021-2030, 
TẦM NHÌN ĐẾN NĂM 2050</t>
  </si>
  <si>
    <t>Sở, ngành, UBND cấp huyện và các đơn vị có liên quan</t>
  </si>
  <si>
    <t>Ủy ban Mặt trận Tổ quốc tỉnh</t>
  </si>
  <si>
    <t>Hội đồng Nhân dân  tỉnh</t>
  </si>
  <si>
    <t>Chi phí tổ chức hội hội thảo tham vấn ý kiến về các nội dung đề xuất tích hợp vào quy hoạch tỉnh</t>
  </si>
  <si>
    <t>Xây dựng nhiệm vụ lập quy hoạch tỉnh</t>
  </si>
  <si>
    <t>Điều tra, khảo sát thu thập thông tin trực tiếp của tỉnh</t>
  </si>
  <si>
    <t>Phương án quy hoạch hệ thống đô thị, bao gồm: Phương án phát triển đô thị cấp quốc gia, cấp vùng đã được xác định trong quy hoạch vùng trên địa bàn; phương án phát triển đô thị tỉnh lỵ và các tỉnh, thị xã, thị trấn trên địa bàn; phương án phát triển hệ thống khu kinh tế; khu công nghiệp, khu chế xuất, khu công nghệ ca; khu du lịch; khu nghiên cứu, đào tạo; khu thể dục thể thao; khu bảo tồn, khu vực cần được bảo quản, tu bổ, phục hồi di tích lịch sử - văn hoá, danh lam thắng cảnh và đối tượng đã được kiểm kê di tích đã được xác định trong quy hoạch cấp quốc gia, quy hoạch vùng trên địa bàn; phương án phát triển các cụm công nghiệp; phương án tổ chức lãnh thổ khu vực nông thôn, phát triển các vùng sản xuất nông nghiệp tập trung; phương án phân bố hệ thống điểm dân cư; xác định khu quân sự, an ninh; phương án phát triển những khu vực khó khăn, đặc biệt khó khăn, những khu vực có vai trò động lực</t>
  </si>
  <si>
    <t xml:space="preserve">Đánh giá tiềm năng đất đai và hiện trạng sử dụng đất của tỉnh, tính hợp lý và hiệu quả sử dụng đất của tỉnh. Định hướng sử dụng đất của tỉnh Thừa Thiên Huế thời kỳ 2021-2030, tầm nhìn đến năm 2050      </t>
  </si>
  <si>
    <t>chi phí tổ chức hội hội thảo tham vấn ý kiến về các nội dung đề xuất tích hợp vào quy hoạch tỉnh</t>
  </si>
  <si>
    <t>Cp TT Huế</t>
  </si>
  <si>
    <r>
      <t xml:space="preserve"> </t>
    </r>
    <r>
      <rPr>
        <b/>
        <sz val="12"/>
        <rFont val="Times New Roman"/>
        <family val="1"/>
      </rPr>
      <t>TT</t>
    </r>
  </si>
  <si>
    <t>Mức chuyên gia/ Đơn vị</t>
  </si>
  <si>
    <t>CG3</t>
  </si>
  <si>
    <t>Đơn giá công CG4</t>
  </si>
  <si>
    <t>Mức chuyên gia đề xuất</t>
  </si>
  <si>
    <t>Số lượng/ Ngày công quy đổi</t>
  </si>
  <si>
    <t xml:space="preserve">Thành tiền </t>
  </si>
  <si>
    <t xml:space="preserve">Chi phí trực tiếp </t>
  </si>
  <si>
    <t xml:space="preserve">I </t>
  </si>
  <si>
    <t>Thu thập thông tin dữ liệu ban đầu phục vụ nhiệm vụ lập quy hoạch tỉnh</t>
  </si>
  <si>
    <t>Xây dựng các yêu cầu về nội dung nhiệm vụ lập quy hoạch</t>
  </si>
  <si>
    <t>Nội dung chính của quy hoạch và nội dung đề xuất</t>
  </si>
  <si>
    <t xml:space="preserve">Xây dựng dự toán lập quy hoạch và các nội dung đề xuất </t>
  </si>
  <si>
    <t>CG4</t>
  </si>
  <si>
    <t>Thuế VAT</t>
  </si>
  <si>
    <t>Chi phí gián tiếp (hội họp lấy ý kiến, thẩm định, tài liệu...)</t>
  </si>
  <si>
    <t>Hội thảo lấy ý kiến chuyên gia, nhà khoa học</t>
  </si>
  <si>
    <t>người</t>
  </si>
  <si>
    <t>Tham luận</t>
  </si>
  <si>
    <t>gói</t>
  </si>
  <si>
    <t>Tài liệu Hội thảo</t>
  </si>
  <si>
    <t>Tiền ăn đại biểu tham dự</t>
  </si>
  <si>
    <t>Chi phí báo chí</t>
  </si>
  <si>
    <t>Báo cáo trước UBND tỉnh, các Sở  ban ngành và các đơn vị có liên quan</t>
  </si>
  <si>
    <t>lần</t>
  </si>
  <si>
    <t>Chi giải khát giữa giờ</t>
  </si>
  <si>
    <t>Thông tư số 40/2017/TT-BTC ngày 28/4/2017 của Bộ Tài chính quy định chế độ công tác phí, chế độ chi hội nghị.</t>
  </si>
  <si>
    <t>Tài liệu phục vụ cuộc họp</t>
  </si>
  <si>
    <t>bộ</t>
  </si>
  <si>
    <t>Tạm tính theo giá thị trường</t>
  </si>
  <si>
    <t xml:space="preserve">Chi phí phiên họp thẩm định nhiệm vụ lập quy hoạch </t>
  </si>
  <si>
    <t>3.1</t>
  </si>
  <si>
    <t>Chủ tịch Hội đồng</t>
  </si>
  <si>
    <t>Tạm tính</t>
  </si>
  <si>
    <t>3.2</t>
  </si>
  <si>
    <t>3.3</t>
  </si>
  <si>
    <t>Thành viên Hội đồng thẩm định</t>
  </si>
  <si>
    <t>3.4</t>
  </si>
  <si>
    <t>Nhận xét của thành viên Hội đồng</t>
  </si>
  <si>
    <t>3.5</t>
  </si>
  <si>
    <t>Chuyên gia phản biện</t>
  </si>
  <si>
    <t>3.6</t>
  </si>
  <si>
    <t>3.7</t>
  </si>
  <si>
    <t>3.8</t>
  </si>
  <si>
    <t>3.9</t>
  </si>
  <si>
    <t>3.10</t>
  </si>
  <si>
    <t>Chi phí vé máy bay của đại diện cơ quan lập quy hoạch</t>
  </si>
  <si>
    <t>3.11</t>
  </si>
  <si>
    <t>Lưu trú</t>
  </si>
  <si>
    <t>TỔNG CỘNG (A + B)</t>
  </si>
  <si>
    <t>CHI PHÍ XÂY DỰNG NHIỆM VỤ QUY HOẠCH 
TỈNH THỪA THIÊN HUẾ THỜI KỲ 2021-2030 TẦM NHÌN ĐẾN NĂM 2050</t>
  </si>
  <si>
    <t>Đvt: đồng</t>
  </si>
  <si>
    <t>Chi phí trực tiếp</t>
  </si>
  <si>
    <t>Chi phí chuyên gia</t>
  </si>
  <si>
    <t>VI</t>
  </si>
  <si>
    <t>VII</t>
  </si>
  <si>
    <t>Chi phí chuyên gia lập Nhiệm vụ quy hoạch (chưa bao gồm VAT 10%)</t>
  </si>
  <si>
    <t>Bảng III:</t>
  </si>
  <si>
    <t>2.2.1</t>
  </si>
  <si>
    <t>2.2.2</t>
  </si>
  <si>
    <t>DỰ TOÁN CHÍ PHÍ LẬP QUY HOẠCH TỈNH THỪA THIÊN HUẾ
THỜI KỲ 2021 - 2030, TẦM NHÌN ĐẾN NĂM 2050</t>
  </si>
  <si>
    <r>
      <t>Thuế VAT = 10%</t>
    </r>
    <r>
      <rPr>
        <sz val="12"/>
        <color indexed="8"/>
        <rFont val="Times New Roman"/>
        <family val="1"/>
      </rPr>
      <t xml:space="preserve"> (Mục IV+ Mục III + Mục I )</t>
    </r>
  </si>
  <si>
    <r>
      <t xml:space="preserve">TỔNG KINH PHÍ sau thuế </t>
    </r>
    <r>
      <rPr>
        <sz val="12"/>
        <color indexed="8"/>
        <rFont val="Times New Roman"/>
        <family val="1"/>
      </rPr>
      <t>(Mục A + Mục B)</t>
    </r>
  </si>
  <si>
    <t>DỰ TOÁN KINH PHÍ LẬP QUY HOẠCH TỈNH THỪA THIÊN HUẾ 
THỜI KỲ 2021-2030, TẦM NHÌN ĐẾN NĂM 2050</t>
  </si>
  <si>
    <t>Hiện trạng phát triển giai đoạn 2011-2020 và định hướng, giải pháp phát triển các Khu công nghiệp; Khu kinh tế; Cụm công nghiệp, làng nghề; Khu công nghệ thông tin tập trung; Khu công nghệ cao trên địa bàn tỉnh Thừa Thiên Huế thời kỳ 2021-2030, tầm nhìn đến năm 2050</t>
  </si>
  <si>
    <t>Đvt: nghìn đồng</t>
  </si>
  <si>
    <t>Tổng chi phí chuyên gia thẩm định quy hoạch tỉnh Thừa Thiên Huế</t>
  </si>
  <si>
    <t>54 người x 01 buổi</t>
  </si>
  <si>
    <t>54 người x 01 ngày</t>
  </si>
  <si>
    <t>UBND các tỉnh393,200</t>
  </si>
  <si>
    <t>Thuê Hội trường, âm thanh, ánh sáng</t>
  </si>
  <si>
    <t>Teabreak</t>
  </si>
  <si>
    <t>Chi phí vé máy bay chuyên gia</t>
  </si>
  <si>
    <t>Chi phí phòng nghỉ chuyên gia</t>
  </si>
  <si>
    <t>Taxi đi lại</t>
  </si>
  <si>
    <t>3.12</t>
  </si>
  <si>
    <t>Huyện biên giới\</t>
  </si>
  <si>
    <t>Thành phố thuộc tỉnh</t>
  </si>
  <si>
    <t>Thị xã</t>
  </si>
  <si>
    <t>Huyện có khu kinh tế</t>
  </si>
  <si>
    <t>Huyện giáp ranh thành phố</t>
  </si>
  <si>
    <t>Vùng liên huyện</t>
  </si>
  <si>
    <t>PA2</t>
  </si>
  <si>
    <t>Sở Công thương</t>
  </si>
  <si>
    <t>Ban QLKKT,CN chủ trì, các sở: Công Thương, TT&amp;TT, NN&amp;PTNT, Sở KH&amp;CN phối hợp</t>
  </si>
  <si>
    <t>Hiện trạng phát triển giai đoạn 2011-2020 và định hướng, giải pháp phát triển ngành du lịch, đặc biệt chú trọng phát triển sản phẩm du lịch, thị trường du lịch; kết cấu hạ tầng phục vụ phát triển du lịch, các khu, điểm du lịch tỉnh Thừa Thiên Huế thời kỳ 2021-2030, tầm nhìn đến năm 2050</t>
  </si>
  <si>
    <t>Sở Du lịch</t>
  </si>
  <si>
    <t>Hiện trạng phát triển giai đoạn 2011-2020 và phương án quy hoạch phát triển Vườn Quốc gia Bạch Mã thời kỳ 2021-2030, tầm nhìn đến năm 2050</t>
  </si>
  <si>
    <t>Hiện trạng phát triển giai đoạn 2011-2020, phương án quy hoạch và giải pháp phát triển sản xuất nông nghiệp, lâm nghiệp, thủy sản tỉnh Thừa Thiên Huế thời kỳ 2021-2030, tầm nhìn đến năm 2050</t>
  </si>
  <si>
    <t>Sở NN&amp;PTNT</t>
  </si>
  <si>
    <t>Sở GTVT</t>
  </si>
  <si>
    <t>Sở TT&amp;TT</t>
  </si>
  <si>
    <t>Hiện trạng phát triển giai đoạn 2011-2020 và định hướng, giải pháp phát triển công nghiệp công nghệ thông tin, viễn thông gắn với kinh tế số tỉnh Thừa Thiên Huế thời kỳ 2021-2030, tầm nhìn đến năm 2050</t>
  </si>
  <si>
    <t>Sở Y tế</t>
  </si>
  <si>
    <t>Sở GD&amp;ĐT</t>
  </si>
  <si>
    <t>Sở LĐTB&amp;XH</t>
  </si>
  <si>
    <t>Sở VHTT</t>
  </si>
  <si>
    <t>Sở KH&amp;CN</t>
  </si>
  <si>
    <t>Nghiên cứu và đề xuất mô hình nhằm thực hiện liên kết kinh tế hiệu quả giữa Thừa Thiên Huế với Đà Nẵng và các tỉnh vùng kinh tế trọng điểm miền Trung</t>
  </si>
  <si>
    <t>Sở KH&amp;ĐT</t>
  </si>
  <si>
    <t>Thực trạng và định hướng phát triển các vùng khó khăn, khu vực biên giới trong thời kỳ 2021-2030, tầm nhìn đến năm 2050</t>
  </si>
  <si>
    <t>Công an tỉnh và Bộ Chỉ huy Quân sự tỉnh</t>
  </si>
  <si>
    <t>Đánh giá chung về hiện trạng phát triển giai đoạn 2011-2020 và phương án quy hoạch phát triển kết cấu hạ tầng kinh tế - xã hội tỉnh Thừa Thiên Huế thời kỳ 2021-2030, tầm nhìn đến năm 2050</t>
  </si>
  <si>
    <t>Sở Xây dựng</t>
  </si>
  <si>
    <t>Đánh giá hiện trạng phát triển giai đoạn 2011-2020 và phương án quy hoạch phát triển đô thị, các phân khu, vùng liên huyện, vùng huyện tỉnh Thừa Thiên Huế  thời kỳ 2021-2030, tầm nhìn đến 2050</t>
  </si>
  <si>
    <t>Nghiên cứu xác định phương hướng phát triển các vùng không gian biển thời kỳ 2021-2030, tầm nhìn đến năm 2050</t>
  </si>
  <si>
    <t>Hiện trạng phát triển giai đoạn 2011-2020 và định hướng phát triển và khai thác vùng đầm phá Tam Giang - Cầu Hai  thời kỳ 2021-2030, tầm nhìn đến năm 2050</t>
  </si>
  <si>
    <t>Sở TN&amp;MT</t>
  </si>
  <si>
    <t>Đánh giá tiềm năng đất đai và hiện trạng sử dụng đất của tỉnh, tính hợp lý và hiệu quả sử dụng đất của tỉnh. Định hướng sử dụng đất của tỉnh Thừa Thiên Huế thời kỳ 2021-2030, tầm nhìn đến năm 2050</t>
  </si>
  <si>
    <t xml:space="preserve">Sở XD, Sở GTVT và TN&amp;MT </t>
  </si>
  <si>
    <r>
      <t xml:space="preserve">Hiện trạng phát triển giai đoạn 2011-2020 và định hướng, giải pháp phát triển ngành công nghiệp, đặc biệt là công nghiệp </t>
    </r>
    <r>
      <rPr>
        <sz val="12"/>
        <color indexed="10"/>
        <rFont val="Times New Roman"/>
        <family val="1"/>
      </rPr>
      <t>công nghệ cao, công nghiệp hỗ trợ, chế biến</t>
    </r>
    <r>
      <rPr>
        <sz val="12"/>
        <color indexed="8"/>
        <rFont val="Times New Roman"/>
        <family val="1"/>
      </rPr>
      <t>, chế tạo tỉnh Thừa Thiên Huế thời kỳ 2021-2030, tầm nhìn đến năm 2050</t>
    </r>
  </si>
  <si>
    <r>
      <t xml:space="preserve">Hiện trạng phát triển giai đoạn 2011-2020 và định hướng, giải pháp phát triển dịch vụ thông tin - truyền thông, kết cấu hạ tầng thông tin và truyền thông, </t>
    </r>
    <r>
      <rPr>
        <sz val="12"/>
        <color indexed="10"/>
        <rFont val="Times New Roman"/>
        <family val="1"/>
      </rPr>
      <t xml:space="preserve">mạng lưới cơ sở báo chí, phát thanh, truyền hình, thông tin điện tử, cơ sở xuất bản, mạng lưới bưu chính, viễn thông, công nghệ thông tin, an ninh mạng... </t>
    </r>
    <r>
      <rPr>
        <sz val="12"/>
        <color indexed="8"/>
        <rFont val="Times New Roman"/>
        <family val="1"/>
      </rPr>
      <t>tỉnh Thừa Thiên Huế thời kỳ 2021-2030, tầm nhìn đến năm 2050</t>
    </r>
  </si>
  <si>
    <r>
      <t xml:space="preserve">Hiện trạng phát triển giai đoạn 2011-2020 và định hướng, giải pháp phát triển triển lĩnh vực giáo dục, dịch vụ giáo dục - đào tạo và cơ sở hạ tầng, mạng lưới cơ sở giáo dục - đào tạo, </t>
    </r>
    <r>
      <rPr>
        <sz val="12"/>
        <color indexed="10"/>
        <rFont val="Times New Roman"/>
        <family val="1"/>
      </rPr>
      <t xml:space="preserve">hệ thống cơ sở giáo dục chuyên biệt đối với người khuyết tật và hệ thống trung tâm hỗ trợ phát triển giáo dục hòa nhập </t>
    </r>
    <r>
      <rPr>
        <sz val="12"/>
        <color indexed="8"/>
        <rFont val="Times New Roman"/>
        <family val="1"/>
      </rPr>
      <t>tỉnh Thừa Thiên Huế thời kỳ 2021-2030, tầm nhìn đến năm 2050</t>
    </r>
  </si>
  <si>
    <r>
      <t xml:space="preserve">Nghiên cứu phát triển </t>
    </r>
    <r>
      <rPr>
        <sz val="12"/>
        <color indexed="10"/>
        <rFont val="Times New Roman"/>
        <family val="1"/>
      </rPr>
      <t>đô thị</t>
    </r>
    <r>
      <rPr>
        <sz val="12"/>
        <color indexed="8"/>
        <rFont val="Times New Roman"/>
        <family val="1"/>
      </rPr>
      <t xml:space="preserve"> đôi Huế - Đà Nẵng</t>
    </r>
  </si>
  <si>
    <t>UBND TP Huế</t>
  </si>
  <si>
    <t>TX Hương Trà</t>
  </si>
  <si>
    <t>huyện A Lưới</t>
  </si>
  <si>
    <t>huyện Nam Đông</t>
  </si>
  <si>
    <t>huyện Phong Điền</t>
  </si>
  <si>
    <t>huyện Phú Lộc</t>
  </si>
  <si>
    <t>huyện Phú Vang</t>
  </si>
  <si>
    <t>huyện Quảng Điền</t>
  </si>
  <si>
    <t>UBND TX Hương Thủy</t>
  </si>
  <si>
    <t>Giá trị trước thuế</t>
  </si>
  <si>
    <t>Thuế GTGT</t>
  </si>
  <si>
    <t>Giá trị sau thuế</t>
  </si>
  <si>
    <t xml:space="preserve">Chi phí chuyên gia lập Nhiệm vụ quy hoạch </t>
  </si>
  <si>
    <t>Cp TT Huế (Giá trị trước thuế)</t>
  </si>
  <si>
    <r>
      <t xml:space="preserve">Tổng kinh phí trước thuế </t>
    </r>
    <r>
      <rPr>
        <sz val="12"/>
        <color indexed="8"/>
        <rFont val="Times New Roman"/>
        <family val="1"/>
      </rPr>
      <t>(Mục IV+ Mục III + Mục II + Mục I + A)</t>
    </r>
  </si>
  <si>
    <t>Phụ lục 1</t>
  </si>
  <si>
    <t>Chi phí trước thuế</t>
  </si>
  <si>
    <t>Chi phí sau thuế</t>
  </si>
  <si>
    <t>Phụ lục 7</t>
  </si>
  <si>
    <t>Phụ lục 4</t>
  </si>
  <si>
    <t>Phụ lục 5</t>
  </si>
  <si>
    <t>Phụ lục 6</t>
  </si>
  <si>
    <t>Phụ lục 8</t>
  </si>
  <si>
    <t>Phụ lục 3</t>
  </si>
  <si>
    <t>Phụ lục 2</t>
  </si>
  <si>
    <t>Phụ lục 9</t>
  </si>
  <si>
    <t xml:space="preserve">Ghi chú </t>
  </si>
  <si>
    <t>Đã được UBND tỉnh phê duyệt tại Quyết định số 3214/QĐ-UBND ngày 12 tháng 12 năm 2019</t>
  </si>
  <si>
    <t>Chi phí xây dựng Phần mềm Quản lý và vận hành quy hoạch</t>
  </si>
  <si>
    <t>Chi phí dự phòng = 5% x tổng chi phí để tính chi phí dự phòng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</si>
</sst>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00_);_(* \(#,##0.000\);_(* &quot;-&quot;??_);_(@_)"/>
    <numFmt numFmtId="172" formatCode="_(* #,##0.0000_);_(* \(#,##0.0000\);_(* &quot;-&quot;??_);_(@_)"/>
    <numFmt numFmtId="173" formatCode="[$-409]dddd\,\ mmmm\ dd\,\ yyyy"/>
    <numFmt numFmtId="174" formatCode="[$-409]h:mm:ss\ AM/PM"/>
    <numFmt numFmtId="175" formatCode="_(* #,##0.0_);_(* \(#,##0.0\);_(* &quot;-&quot;?_);_(@_)"/>
  </numFmts>
  <fonts count="82">
    <font>
      <sz val="11"/>
      <color theme="1"/>
      <name val="Calibri"/>
      <family val="2"/>
    </font>
    <font>
      <sz val="11"/>
      <color indexed="8"/>
      <name val="Times New Roman"/>
      <family val="2"/>
    </font>
    <font>
      <sz val="12"/>
      <name val="Times New Roman"/>
      <family val="1"/>
    </font>
    <font>
      <b/>
      <sz val="12"/>
      <color indexed="8"/>
      <name val="Times New Roman"/>
      <family val="1"/>
    </font>
    <font>
      <sz val="12"/>
      <color indexed="8"/>
      <name val="Times New Roman"/>
      <family val="1"/>
    </font>
    <font>
      <b/>
      <sz val="12"/>
      <name val="Times New Roman"/>
      <family val="1"/>
    </font>
    <font>
      <sz val="12"/>
      <color indexed="17"/>
      <name val="Times New Roman"/>
      <family val="1"/>
    </font>
    <font>
      <vertAlign val="subscript"/>
      <sz val="12"/>
      <color indexed="17"/>
      <name val="Times New Roman"/>
      <family val="1"/>
    </font>
    <font>
      <sz val="10"/>
      <name val="Arial"/>
      <family val="2"/>
    </font>
    <font>
      <sz val="13"/>
      <color indexed="10"/>
      <name val="Times New Roman"/>
      <family val="1"/>
    </font>
    <font>
      <b/>
      <i/>
      <sz val="13"/>
      <name val="Times New Roman"/>
      <family val="1"/>
    </font>
    <font>
      <sz val="13"/>
      <name val="Times New Roman"/>
      <family val="1"/>
    </font>
    <font>
      <i/>
      <sz val="12"/>
      <name val="Times New Roman"/>
      <family val="1"/>
    </font>
    <font>
      <sz val="12"/>
      <color indexed="10"/>
      <name val="Times New Roman"/>
      <family val="1"/>
    </font>
    <font>
      <sz val="11"/>
      <color indexed="8"/>
      <name val="Calibri"/>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Calibri"/>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2"/>
      <color indexed="8"/>
      <name val="Calibri"/>
      <family val="2"/>
    </font>
    <font>
      <b/>
      <sz val="12"/>
      <color indexed="8"/>
      <name val="Calibri"/>
      <family val="2"/>
    </font>
    <font>
      <i/>
      <sz val="12"/>
      <color indexed="8"/>
      <name val="Times New Roman"/>
      <family val="1"/>
    </font>
    <font>
      <b/>
      <sz val="13"/>
      <color indexed="8"/>
      <name val="Times New Roman"/>
      <family val="1"/>
    </font>
    <font>
      <sz val="13"/>
      <color indexed="8"/>
      <name val="Times New Roman"/>
      <family val="1"/>
    </font>
    <font>
      <b/>
      <sz val="14"/>
      <color indexed="8"/>
      <name val="Times New Roman"/>
      <family val="1"/>
    </font>
    <font>
      <sz val="14"/>
      <color indexed="8"/>
      <name val="Times New Roman"/>
      <family val="1"/>
    </font>
    <font>
      <b/>
      <i/>
      <sz val="12"/>
      <color indexed="8"/>
      <name val="Times New Roman"/>
      <family val="1"/>
    </font>
    <font>
      <b/>
      <sz val="12"/>
      <color indexed="10"/>
      <name val="Times New Roman"/>
      <family val="1"/>
    </font>
    <font>
      <b/>
      <sz val="12"/>
      <color indexed="56"/>
      <name val="Times New Roman"/>
      <family val="1"/>
    </font>
    <font>
      <sz val="12"/>
      <color indexed="56"/>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Calibri"/>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2"/>
      <color theme="1"/>
      <name val="Times New Roman"/>
      <family val="1"/>
    </font>
    <font>
      <b/>
      <sz val="12"/>
      <color rgb="FF000000"/>
      <name val="Times New Roman"/>
      <family val="1"/>
    </font>
    <font>
      <b/>
      <sz val="12"/>
      <color theme="1"/>
      <name val="Times New Roman"/>
      <family val="1"/>
    </font>
    <font>
      <sz val="12"/>
      <color theme="1"/>
      <name val="Calibri"/>
      <family val="2"/>
    </font>
    <font>
      <b/>
      <sz val="12"/>
      <color theme="1"/>
      <name val="Calibri"/>
      <family val="2"/>
    </font>
    <font>
      <i/>
      <sz val="12"/>
      <color theme="1"/>
      <name val="Times New Roman"/>
      <family val="1"/>
    </font>
    <font>
      <sz val="12"/>
      <color rgb="FF00B050"/>
      <name val="Times New Roman"/>
      <family val="1"/>
    </font>
    <font>
      <sz val="12"/>
      <color rgb="FF000000"/>
      <name val="Times New Roman"/>
      <family val="1"/>
    </font>
    <font>
      <sz val="12"/>
      <color rgb="FFFF0000"/>
      <name val="Times New Roman"/>
      <family val="1"/>
    </font>
    <font>
      <b/>
      <sz val="13"/>
      <color theme="1"/>
      <name val="Times New Roman"/>
      <family val="1"/>
    </font>
    <font>
      <sz val="13"/>
      <color theme="1"/>
      <name val="Times New Roman"/>
      <family val="1"/>
    </font>
    <font>
      <sz val="13"/>
      <color rgb="FFFF0000"/>
      <name val="Times New Roman"/>
      <family val="1"/>
    </font>
    <font>
      <b/>
      <sz val="14"/>
      <color theme="1"/>
      <name val="Times New Roman"/>
      <family val="1"/>
    </font>
    <font>
      <sz val="14"/>
      <color theme="1"/>
      <name val="Times New Roman"/>
      <family val="1"/>
    </font>
    <font>
      <b/>
      <i/>
      <sz val="12"/>
      <color rgb="FF000000"/>
      <name val="Times New Roman"/>
      <family val="1"/>
    </font>
    <font>
      <b/>
      <sz val="12"/>
      <color rgb="FFFF0000"/>
      <name val="Times New Roman"/>
      <family val="1"/>
    </font>
    <font>
      <b/>
      <i/>
      <sz val="12"/>
      <color theme="1"/>
      <name val="Times New Roman"/>
      <family val="1"/>
    </font>
    <font>
      <b/>
      <sz val="12"/>
      <color theme="3"/>
      <name val="Times New Roman"/>
      <family val="1"/>
    </font>
    <font>
      <sz val="12"/>
      <color theme="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thin"/>
      <right style="medium"/>
      <top style="thin"/>
      <bottom>
        <color indexed="63"/>
      </botto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color rgb="FF000000"/>
      </bottom>
    </border>
    <border>
      <left>
        <color indexed="63"/>
      </left>
      <right style="medium"/>
      <top style="medium"/>
      <bottom>
        <color indexed="63"/>
      </bottom>
    </border>
    <border>
      <left>
        <color indexed="63"/>
      </left>
      <right style="medium"/>
      <top>
        <color indexed="63"/>
      </top>
      <bottom style="medium">
        <color rgb="FF000000"/>
      </bottom>
    </border>
    <border>
      <left style="medium"/>
      <right style="medium"/>
      <top style="medium">
        <color rgb="FF000000"/>
      </top>
      <bottom>
        <color indexed="63"/>
      </bottom>
    </border>
    <border>
      <left>
        <color indexed="63"/>
      </left>
      <right style="medium"/>
      <top style="medium">
        <color rgb="FF000000"/>
      </top>
      <bottom>
        <color indexed="63"/>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01">
    <xf numFmtId="0" fontId="0" fillId="0" borderId="0" xfId="0" applyFont="1" applyAlignment="1">
      <alignment/>
    </xf>
    <xf numFmtId="0" fontId="63" fillId="0" borderId="10" xfId="0" applyFont="1" applyBorder="1" applyAlignment="1">
      <alignment horizontal="center" vertical="center" wrapText="1"/>
    </xf>
    <xf numFmtId="0" fontId="64" fillId="0" borderId="10" xfId="0" applyFont="1" applyFill="1" applyBorder="1" applyAlignment="1">
      <alignment horizontal="center" vertical="center" wrapText="1"/>
    </xf>
    <xf numFmtId="3" fontId="65" fillId="0" borderId="10" xfId="0" applyNumberFormat="1" applyFont="1" applyFill="1" applyBorder="1" applyAlignment="1">
      <alignment horizontal="center" vertical="center" wrapText="1"/>
    </xf>
    <xf numFmtId="0" fontId="63" fillId="0" borderId="10" xfId="0" applyFont="1" applyFill="1" applyBorder="1" applyAlignment="1">
      <alignment vertical="center" wrapText="1"/>
    </xf>
    <xf numFmtId="0" fontId="63" fillId="0" borderId="10" xfId="0" applyFont="1" applyFill="1" applyBorder="1" applyAlignment="1">
      <alignment horizontal="center" vertical="center" wrapText="1"/>
    </xf>
    <xf numFmtId="0" fontId="66" fillId="0" borderId="0" xfId="0" applyFont="1" applyFill="1" applyAlignment="1">
      <alignment vertical="center" wrapText="1"/>
    </xf>
    <xf numFmtId="3" fontId="63" fillId="0" borderId="10" xfId="0" applyNumberFormat="1" applyFont="1" applyFill="1" applyBorder="1" applyAlignment="1">
      <alignment horizontal="center" vertical="center" wrapText="1"/>
    </xf>
    <xf numFmtId="0" fontId="63" fillId="0" borderId="0" xfId="0" applyFont="1" applyFill="1" applyAlignment="1">
      <alignment vertical="center" wrapText="1"/>
    </xf>
    <xf numFmtId="0" fontId="66" fillId="0" borderId="0" xfId="0" applyFont="1" applyFill="1" applyAlignment="1">
      <alignment horizontal="center" vertical="center" wrapText="1"/>
    </xf>
    <xf numFmtId="3" fontId="66" fillId="0" borderId="0" xfId="0" applyNumberFormat="1" applyFont="1" applyFill="1" applyAlignment="1">
      <alignment vertical="center" wrapText="1"/>
    </xf>
    <xf numFmtId="0" fontId="65" fillId="0" borderId="10" xfId="0" applyFont="1" applyFill="1" applyBorder="1" applyAlignment="1">
      <alignment horizontal="justify" vertical="center" wrapText="1"/>
    </xf>
    <xf numFmtId="0" fontId="63" fillId="0" borderId="10" xfId="0" applyFont="1" applyFill="1" applyBorder="1" applyAlignment="1">
      <alignment horizontal="justify" vertical="center" wrapText="1"/>
    </xf>
    <xf numFmtId="0" fontId="67" fillId="0" borderId="0" xfId="0" applyFont="1" applyFill="1" applyAlignment="1">
      <alignment vertical="center" wrapText="1"/>
    </xf>
    <xf numFmtId="0" fontId="65" fillId="0" borderId="10" xfId="0" applyFont="1" applyFill="1" applyBorder="1" applyAlignment="1">
      <alignment vertical="center" wrapText="1"/>
    </xf>
    <xf numFmtId="0" fontId="66" fillId="0" borderId="0" xfId="0" applyFont="1" applyFill="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164" fontId="65" fillId="0" borderId="10" xfId="42" applyNumberFormat="1" applyFont="1" applyFill="1" applyBorder="1" applyAlignment="1">
      <alignment horizontal="center" vertical="center" wrapText="1"/>
    </xf>
    <xf numFmtId="164" fontId="63" fillId="0" borderId="10" xfId="42" applyNumberFormat="1" applyFont="1" applyFill="1" applyBorder="1" applyAlignment="1">
      <alignment horizontal="center" vertical="center" wrapText="1"/>
    </xf>
    <xf numFmtId="164" fontId="67" fillId="0" borderId="0" xfId="0" applyNumberFormat="1" applyFont="1" applyFill="1" applyAlignment="1">
      <alignment vertical="center" wrapText="1"/>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0" fontId="63" fillId="0" borderId="0" xfId="0" applyFont="1" applyFill="1" applyAlignment="1">
      <alignment horizontal="center" vertical="center" wrapText="1"/>
    </xf>
    <xf numFmtId="164" fontId="65" fillId="0" borderId="10" xfId="42" applyNumberFormat="1" applyFont="1" applyFill="1" applyBorder="1" applyAlignment="1">
      <alignment vertical="center" wrapText="1"/>
    </xf>
    <xf numFmtId="164" fontId="66" fillId="0" borderId="0" xfId="42" applyNumberFormat="1" applyFont="1" applyFill="1" applyBorder="1" applyAlignment="1">
      <alignment horizontal="center" vertical="center" wrapText="1"/>
    </xf>
    <xf numFmtId="0" fontId="66" fillId="0" borderId="0" xfId="0" applyFont="1" applyAlignment="1">
      <alignment/>
    </xf>
    <xf numFmtId="0" fontId="65" fillId="0" borderId="10" xfId="0" applyFont="1" applyBorder="1" applyAlignment="1">
      <alignment horizontal="center" vertical="center" wrapText="1"/>
    </xf>
    <xf numFmtId="0" fontId="65" fillId="0" borderId="10" xfId="0" applyFont="1" applyBorder="1" applyAlignment="1">
      <alignment vertical="center" wrapText="1"/>
    </xf>
    <xf numFmtId="0" fontId="65" fillId="0" borderId="10" xfId="0" applyFont="1" applyBorder="1" applyAlignment="1">
      <alignment horizontal="justify" vertical="center" wrapText="1"/>
    </xf>
    <xf numFmtId="0" fontId="63" fillId="0" borderId="0" xfId="0" applyFont="1" applyAlignment="1">
      <alignment/>
    </xf>
    <xf numFmtId="0" fontId="63" fillId="0" borderId="0" xfId="0" applyFont="1" applyAlignment="1">
      <alignment vertical="center"/>
    </xf>
    <xf numFmtId="0" fontId="63" fillId="0" borderId="10" xfId="0" applyFont="1" applyBorder="1" applyAlignment="1">
      <alignment horizontal="center" vertical="center"/>
    </xf>
    <xf numFmtId="0" fontId="63" fillId="0" borderId="10" xfId="0" applyFont="1" applyBorder="1" applyAlignment="1">
      <alignment horizontal="justify" vertical="center" wrapText="1"/>
    </xf>
    <xf numFmtId="0" fontId="63" fillId="0" borderId="10" xfId="0" applyFont="1" applyBorder="1" applyAlignment="1">
      <alignment horizontal="left" vertical="center" wrapText="1"/>
    </xf>
    <xf numFmtId="166" fontId="63" fillId="0" borderId="10" xfId="42" applyNumberFormat="1" applyFont="1" applyBorder="1" applyAlignment="1">
      <alignment/>
    </xf>
    <xf numFmtId="164" fontId="63" fillId="0" borderId="10" xfId="42" applyNumberFormat="1" applyFont="1" applyBorder="1" applyAlignment="1">
      <alignment/>
    </xf>
    <xf numFmtId="164" fontId="63" fillId="0" borderId="0" xfId="42" applyNumberFormat="1" applyFont="1" applyAlignment="1">
      <alignment/>
    </xf>
    <xf numFmtId="164" fontId="63" fillId="0" borderId="10" xfId="42" applyNumberFormat="1" applyFont="1" applyBorder="1" applyAlignment="1">
      <alignment vertical="center"/>
    </xf>
    <xf numFmtId="0" fontId="65" fillId="0" borderId="10" xfId="0" applyFont="1" applyBorder="1" applyAlignment="1">
      <alignment horizontal="center" vertical="center"/>
    </xf>
    <xf numFmtId="0" fontId="65"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164" fontId="5" fillId="0" borderId="10" xfId="42" applyNumberFormat="1"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42" applyNumberFormat="1" applyFont="1" applyBorder="1" applyAlignment="1">
      <alignment horizontal="right" vertical="center" wrapText="1"/>
    </xf>
    <xf numFmtId="164" fontId="2" fillId="0" borderId="10" xfId="42" applyNumberFormat="1" applyFont="1" applyBorder="1" applyAlignment="1">
      <alignment horizontal="center" vertical="center" wrapText="1"/>
    </xf>
    <xf numFmtId="41" fontId="2" fillId="0" borderId="11" xfId="0" applyNumberFormat="1" applyFont="1" applyBorder="1" applyAlignment="1">
      <alignment vertical="center" wrapText="1"/>
    </xf>
    <xf numFmtId="3" fontId="2" fillId="0" borderId="10" xfId="0" applyNumberFormat="1" applyFont="1" applyBorder="1" applyAlignment="1">
      <alignment horizontal="right" vertical="center" wrapText="1"/>
    </xf>
    <xf numFmtId="41" fontId="2" fillId="0" borderId="11" xfId="0" applyNumberFormat="1" applyFont="1" applyBorder="1" applyAlignment="1">
      <alignment vertical="center"/>
    </xf>
    <xf numFmtId="41" fontId="2" fillId="0" borderId="10" xfId="0" applyNumberFormat="1" applyFont="1" applyBorder="1" applyAlignment="1">
      <alignment vertical="center"/>
    </xf>
    <xf numFmtId="41" fontId="2" fillId="0" borderId="10" xfId="0" applyNumberFormat="1" applyFont="1" applyBorder="1" applyAlignment="1">
      <alignment/>
    </xf>
    <xf numFmtId="164" fontId="5" fillId="33" borderId="10" xfId="42" applyNumberFormat="1" applyFont="1" applyFill="1" applyBorder="1" applyAlignment="1">
      <alignment horizontal="right" vertical="center" wrapText="1"/>
    </xf>
    <xf numFmtId="0" fontId="44" fillId="0" borderId="0" xfId="0" applyFont="1" applyAlignment="1">
      <alignment/>
    </xf>
    <xf numFmtId="164" fontId="65" fillId="33" borderId="10" xfId="0" applyNumberFormat="1" applyFont="1" applyFill="1" applyBorder="1" applyAlignment="1">
      <alignment horizontal="center" vertical="center"/>
    </xf>
    <xf numFmtId="1" fontId="2" fillId="0" borderId="10" xfId="42" applyNumberFormat="1" applyFont="1" applyBorder="1" applyAlignment="1">
      <alignment horizontal="center" vertical="center" wrapText="1"/>
    </xf>
    <xf numFmtId="0" fontId="5" fillId="0" borderId="11" xfId="0" applyFont="1" applyBorder="1" applyAlignment="1">
      <alignment horizontal="center" vertical="center" wrapText="1"/>
    </xf>
    <xf numFmtId="164" fontId="5" fillId="34" borderId="10" xfId="42" applyNumberFormat="1"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63" fillId="35" borderId="10" xfId="0" applyFont="1" applyFill="1" applyBorder="1" applyAlignment="1">
      <alignment horizontal="justify" vertical="center" wrapText="1"/>
    </xf>
    <xf numFmtId="3" fontId="63" fillId="0" borderId="10" xfId="0" applyNumberFormat="1" applyFont="1" applyBorder="1" applyAlignment="1">
      <alignment horizontal="center" vertical="center"/>
    </xf>
    <xf numFmtId="3" fontId="65" fillId="33" borderId="10" xfId="0" applyNumberFormat="1" applyFont="1" applyFill="1" applyBorder="1" applyAlignment="1">
      <alignment horizontal="center" vertical="center"/>
    </xf>
    <xf numFmtId="0" fontId="68" fillId="0" borderId="10" xfId="0" applyFont="1" applyBorder="1" applyAlignment="1">
      <alignment horizontal="center" vertical="center" wrapText="1"/>
    </xf>
    <xf numFmtId="3" fontId="63" fillId="0" borderId="10" xfId="0" applyNumberFormat="1" applyFont="1" applyBorder="1" applyAlignment="1">
      <alignment horizontal="center" vertical="center" wrapText="1"/>
    </xf>
    <xf numFmtId="3" fontId="63" fillId="0" borderId="10" xfId="0" applyNumberFormat="1" applyFont="1" applyBorder="1" applyAlignment="1">
      <alignment horizontal="right" vertical="center" wrapText="1"/>
    </xf>
    <xf numFmtId="3" fontId="65" fillId="33" borderId="10" xfId="0" applyNumberFormat="1" applyFont="1" applyFill="1" applyBorder="1" applyAlignment="1">
      <alignment horizontal="right" vertical="center" wrapText="1"/>
    </xf>
    <xf numFmtId="0" fontId="65"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64" fontId="65" fillId="34" borderId="10" xfId="42" applyNumberFormat="1" applyFont="1" applyFill="1" applyBorder="1" applyAlignment="1">
      <alignment horizontal="center" vertical="center" wrapText="1"/>
    </xf>
    <xf numFmtId="3" fontId="65" fillId="34" borderId="10" xfId="0" applyNumberFormat="1" applyFont="1" applyFill="1" applyBorder="1" applyAlignment="1">
      <alignment horizontal="center" vertical="center" wrapText="1"/>
    </xf>
    <xf numFmtId="0" fontId="66" fillId="34" borderId="0" xfId="0" applyFont="1" applyFill="1" applyAlignment="1">
      <alignment vertical="center" wrapText="1"/>
    </xf>
    <xf numFmtId="0" fontId="65" fillId="34" borderId="10" xfId="0" applyFont="1" applyFill="1" applyBorder="1" applyAlignment="1">
      <alignment horizontal="left" vertical="center" wrapText="1"/>
    </xf>
    <xf numFmtId="0" fontId="65" fillId="34" borderId="10" xfId="0" applyFont="1" applyFill="1" applyBorder="1" applyAlignment="1">
      <alignment vertical="center" wrapText="1"/>
    </xf>
    <xf numFmtId="164" fontId="65" fillId="34" borderId="10" xfId="0" applyNumberFormat="1" applyFont="1" applyFill="1" applyBorder="1" applyAlignment="1">
      <alignment vertical="center" wrapText="1"/>
    </xf>
    <xf numFmtId="3" fontId="63" fillId="0" borderId="10" xfId="0" applyNumberFormat="1" applyFont="1" applyBorder="1" applyAlignment="1">
      <alignment vertical="center"/>
    </xf>
    <xf numFmtId="164" fontId="63" fillId="0" borderId="10" xfId="42" applyNumberFormat="1" applyFont="1" applyBorder="1" applyAlignment="1">
      <alignment horizontal="right" vertical="center"/>
    </xf>
    <xf numFmtId="3" fontId="65" fillId="33" borderId="10" xfId="0" applyNumberFormat="1" applyFont="1" applyFill="1" applyBorder="1" applyAlignment="1">
      <alignment vertical="center"/>
    </xf>
    <xf numFmtId="164" fontId="69" fillId="0" borderId="10" xfId="42" applyNumberFormat="1" applyFont="1" applyBorder="1" applyAlignment="1">
      <alignment/>
    </xf>
    <xf numFmtId="164" fontId="63" fillId="33" borderId="10" xfId="42" applyNumberFormat="1" applyFont="1" applyFill="1" applyBorder="1" applyAlignment="1">
      <alignment vertical="center"/>
    </xf>
    <xf numFmtId="0" fontId="70"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5" fillId="0" borderId="10" xfId="0" applyFont="1" applyBorder="1" applyAlignment="1">
      <alignment horizontal="left" vertical="center" wrapText="1"/>
    </xf>
    <xf numFmtId="164" fontId="44" fillId="0" borderId="0" xfId="42" applyNumberFormat="1" applyFont="1" applyAlignment="1">
      <alignment/>
    </xf>
    <xf numFmtId="164" fontId="63" fillId="0" borderId="10" xfId="42" applyNumberFormat="1" applyFont="1" applyBorder="1" applyAlignment="1">
      <alignment horizontal="left" vertical="center"/>
    </xf>
    <xf numFmtId="164" fontId="65" fillId="0" borderId="10" xfId="42" applyNumberFormat="1" applyFont="1" applyBorder="1" applyAlignment="1">
      <alignment horizontal="left" vertical="center"/>
    </xf>
    <xf numFmtId="164" fontId="65" fillId="33" borderId="10" xfId="42" applyNumberFormat="1" applyFont="1" applyFill="1" applyBorder="1" applyAlignment="1">
      <alignment horizontal="left" vertical="center"/>
    </xf>
    <xf numFmtId="0" fontId="71"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63" fillId="33" borderId="10" xfId="0" applyFont="1" applyFill="1" applyBorder="1" applyAlignment="1">
      <alignment horizontal="center" vertical="center" wrapText="1"/>
    </xf>
    <xf numFmtId="164" fontId="63" fillId="33" borderId="10" xfId="42" applyNumberFormat="1" applyFont="1" applyFill="1" applyBorder="1" applyAlignment="1">
      <alignment horizontal="center" vertical="center" wrapText="1"/>
    </xf>
    <xf numFmtId="0" fontId="65" fillId="0" borderId="12" xfId="0" applyFont="1" applyBorder="1" applyAlignment="1">
      <alignment horizontal="center" vertical="center" wrapText="1"/>
    </xf>
    <xf numFmtId="164" fontId="0" fillId="0" borderId="0" xfId="0" applyNumberFormat="1" applyAlignment="1">
      <alignment/>
    </xf>
    <xf numFmtId="0" fontId="65" fillId="0" borderId="0" xfId="0" applyFont="1" applyBorder="1" applyAlignment="1">
      <alignment horizontal="center" vertical="center" wrapText="1"/>
    </xf>
    <xf numFmtId="3" fontId="72" fillId="33" borderId="0" xfId="0" applyNumberFormat="1" applyFont="1" applyFill="1" applyAlignment="1">
      <alignment vertical="center"/>
    </xf>
    <xf numFmtId="164" fontId="63" fillId="33" borderId="10" xfId="42" applyNumberFormat="1" applyFont="1" applyFill="1" applyBorder="1" applyAlignment="1">
      <alignment horizontal="left" vertical="center"/>
    </xf>
    <xf numFmtId="0" fontId="63"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8" fillId="0" borderId="10" xfId="0" applyFont="1" applyBorder="1" applyAlignment="1">
      <alignment horizontal="justify" vertical="center" wrapText="1"/>
    </xf>
    <xf numFmtId="0" fontId="2" fillId="0" borderId="10" xfId="0" applyFont="1" applyBorder="1" applyAlignment="1">
      <alignment wrapText="1"/>
    </xf>
    <xf numFmtId="0" fontId="73" fillId="0" borderId="10" xfId="0" applyFont="1" applyBorder="1" applyAlignment="1">
      <alignment horizontal="left" vertical="center" wrapText="1"/>
    </xf>
    <xf numFmtId="0" fontId="74" fillId="0" borderId="10" xfId="0" applyFont="1" applyFill="1" applyBorder="1" applyAlignment="1">
      <alignment horizontal="left" vertical="center" wrapText="1"/>
    </xf>
    <xf numFmtId="0" fontId="74" fillId="0" borderId="10" xfId="0" applyFont="1" applyBorder="1" applyAlignment="1">
      <alignment horizontal="left"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74" fillId="0" borderId="10" xfId="0" applyFont="1" applyBorder="1" applyAlignment="1">
      <alignment horizontal="justify" vertical="center" wrapText="1"/>
    </xf>
    <xf numFmtId="0" fontId="74" fillId="33" borderId="10" xfId="0" applyFont="1" applyFill="1" applyBorder="1" applyAlignment="1">
      <alignment horizontal="left" vertical="center" wrapText="1"/>
    </xf>
    <xf numFmtId="43" fontId="63" fillId="0" borderId="10" xfId="42" applyNumberFormat="1" applyFont="1" applyBorder="1" applyAlignment="1">
      <alignment/>
    </xf>
    <xf numFmtId="0" fontId="5" fillId="0" borderId="10" xfId="57" applyFont="1" applyBorder="1" applyAlignment="1">
      <alignment horizontal="center" vertical="center"/>
      <protection/>
    </xf>
    <xf numFmtId="3" fontId="5" fillId="0" borderId="10" xfId="57" applyNumberFormat="1" applyFont="1" applyBorder="1" applyAlignment="1">
      <alignment horizontal="center" vertical="center"/>
      <protection/>
    </xf>
    <xf numFmtId="0" fontId="5" fillId="0" borderId="10" xfId="57" applyFont="1" applyBorder="1" applyAlignment="1">
      <alignment horizontal="center" vertical="center" wrapText="1"/>
      <protection/>
    </xf>
    <xf numFmtId="3" fontId="5" fillId="0" borderId="10" xfId="57" applyNumberFormat="1" applyFont="1" applyBorder="1" applyAlignment="1">
      <alignment horizontal="center" vertical="center" wrapText="1"/>
      <protection/>
    </xf>
    <xf numFmtId="0" fontId="2" fillId="0" borderId="10" xfId="58" applyFont="1" applyBorder="1" applyAlignment="1">
      <alignment horizontal="center" vertical="center"/>
      <protection/>
    </xf>
    <xf numFmtId="0" fontId="2" fillId="0" borderId="10" xfId="58" applyFont="1" applyBorder="1" applyAlignment="1">
      <alignment horizontal="left" vertical="center"/>
      <protection/>
    </xf>
    <xf numFmtId="0" fontId="4" fillId="0" borderId="10" xfId="0" applyFont="1" applyBorder="1" applyAlignment="1">
      <alignment horizontal="center" vertical="center"/>
    </xf>
    <xf numFmtId="164" fontId="4" fillId="0" borderId="10" xfId="42" applyNumberFormat="1" applyFont="1" applyBorder="1" applyAlignment="1">
      <alignment horizontal="center" vertical="center"/>
    </xf>
    <xf numFmtId="164" fontId="4" fillId="0" borderId="10" xfId="0" applyNumberFormat="1" applyFont="1" applyBorder="1" applyAlignment="1">
      <alignment horizontal="center" vertical="center"/>
    </xf>
    <xf numFmtId="3" fontId="5" fillId="0" borderId="10" xfId="59" applyNumberFormat="1" applyFont="1" applyBorder="1" applyAlignment="1">
      <alignment horizontal="center" vertical="center"/>
      <protection/>
    </xf>
    <xf numFmtId="3" fontId="5" fillId="0" borderId="10" xfId="59" applyNumberFormat="1" applyFont="1" applyBorder="1" applyAlignment="1">
      <alignment vertical="center"/>
      <protection/>
    </xf>
    <xf numFmtId="4" fontId="5" fillId="0" borderId="10" xfId="59" applyNumberFormat="1" applyFont="1" applyBorder="1" applyAlignment="1">
      <alignment horizontal="center" vertical="center"/>
      <protection/>
    </xf>
    <xf numFmtId="164" fontId="3" fillId="33" borderId="10" xfId="0" applyNumberFormat="1" applyFont="1" applyFill="1" applyBorder="1" applyAlignment="1">
      <alignment horizontal="center" vertical="center"/>
    </xf>
    <xf numFmtId="0" fontId="65"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12"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65" fillId="34" borderId="15" xfId="0" applyFont="1" applyFill="1" applyBorder="1" applyAlignment="1">
      <alignment horizontal="center" vertical="center" wrapText="1"/>
    </xf>
    <xf numFmtId="3" fontId="65" fillId="34" borderId="1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3" fillId="0" borderId="15" xfId="0" applyFont="1" applyBorder="1" applyAlignment="1">
      <alignment horizontal="center" vertical="center" wrapText="1"/>
    </xf>
    <xf numFmtId="3" fontId="65" fillId="0" borderId="10" xfId="0" applyNumberFormat="1" applyFont="1" applyBorder="1" applyAlignment="1">
      <alignment horizontal="center" vertical="center" wrapText="1"/>
    </xf>
    <xf numFmtId="0" fontId="65"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1" xfId="0" applyFont="1" applyBorder="1" applyAlignment="1">
      <alignment horizontal="left" vertical="center" wrapText="1"/>
    </xf>
    <xf numFmtId="0" fontId="63" fillId="0" borderId="11" xfId="0" applyFont="1" applyBorder="1" applyAlignment="1">
      <alignment horizontal="center" vertical="center" wrapText="1"/>
    </xf>
    <xf numFmtId="3" fontId="63" fillId="0" borderId="11" xfId="0" applyNumberFormat="1" applyFont="1" applyBorder="1" applyAlignment="1">
      <alignment horizontal="center" vertical="center" wrapText="1"/>
    </xf>
    <xf numFmtId="0" fontId="63" fillId="0" borderId="17" xfId="0" applyFont="1" applyBorder="1" applyAlignment="1">
      <alignment vertical="center"/>
    </xf>
    <xf numFmtId="0" fontId="75" fillId="0" borderId="18" xfId="0" applyFont="1" applyFill="1" applyBorder="1" applyAlignment="1">
      <alignment horizontal="left" vertical="center" wrapText="1"/>
    </xf>
    <xf numFmtId="0" fontId="76" fillId="0" borderId="18" xfId="0" applyFont="1" applyBorder="1" applyAlignment="1">
      <alignment vertical="center"/>
    </xf>
    <xf numFmtId="3" fontId="75" fillId="0" borderId="18" xfId="0" applyNumberFormat="1" applyFont="1" applyBorder="1" applyAlignment="1">
      <alignment horizontal="center" vertical="center"/>
    </xf>
    <xf numFmtId="0" fontId="75" fillId="0" borderId="0" xfId="0" applyFont="1" applyAlignment="1">
      <alignment horizontal="center" vertical="center" wrapText="1"/>
    </xf>
    <xf numFmtId="0" fontId="75" fillId="0" borderId="0" xfId="0" applyFont="1" applyAlignment="1">
      <alignment horizontal="center" vertical="center"/>
    </xf>
    <xf numFmtId="0" fontId="68" fillId="0" borderId="0" xfId="0" applyFont="1" applyAlignment="1">
      <alignment horizontal="right" vertical="center"/>
    </xf>
    <xf numFmtId="0" fontId="63" fillId="0" borderId="0" xfId="0" applyFont="1" applyAlignment="1">
      <alignment vertical="center" wrapText="1"/>
    </xf>
    <xf numFmtId="164" fontId="63" fillId="0" borderId="0" xfId="42" applyNumberFormat="1" applyFont="1" applyAlignment="1">
      <alignment vertical="center" wrapText="1"/>
    </xf>
    <xf numFmtId="3" fontId="63" fillId="0" borderId="0" xfId="0" applyNumberFormat="1" applyFont="1" applyAlignment="1">
      <alignment vertical="center"/>
    </xf>
    <xf numFmtId="0" fontId="63" fillId="34" borderId="0" xfId="0" applyFont="1" applyFill="1" applyAlignment="1">
      <alignment vertical="center"/>
    </xf>
    <xf numFmtId="3" fontId="65" fillId="0" borderId="0" xfId="0" applyNumberFormat="1" applyFont="1" applyAlignment="1">
      <alignment vertical="center"/>
    </xf>
    <xf numFmtId="0" fontId="65" fillId="0" borderId="0" xfId="0" applyFont="1" applyAlignment="1">
      <alignment vertical="center"/>
    </xf>
    <xf numFmtId="0" fontId="0" fillId="0" borderId="0" xfId="0" applyFont="1" applyFill="1" applyAlignment="1">
      <alignment horizontal="center" vertical="center" wrapText="1"/>
    </xf>
    <xf numFmtId="0" fontId="65" fillId="0" borderId="12" xfId="0" applyFont="1" applyBorder="1" applyAlignment="1">
      <alignment horizontal="center" vertical="center" wrapText="1"/>
    </xf>
    <xf numFmtId="49" fontId="63" fillId="0" borderId="0" xfId="0" applyNumberFormat="1" applyFont="1" applyFill="1" applyAlignment="1">
      <alignment horizontal="justify" vertical="center" wrapText="1"/>
    </xf>
    <xf numFmtId="0" fontId="65" fillId="0" borderId="10" xfId="0" applyFont="1" applyFill="1" applyBorder="1" applyAlignment="1">
      <alignment horizontal="center" vertical="center" wrapText="1"/>
    </xf>
    <xf numFmtId="0" fontId="63" fillId="0" borderId="10" xfId="0" applyFont="1" applyBorder="1" applyAlignment="1">
      <alignment horizontal="left" vertical="center" wrapText="1"/>
    </xf>
    <xf numFmtId="0" fontId="65" fillId="0" borderId="10" xfId="0" applyFont="1" applyBorder="1" applyAlignment="1">
      <alignment horizontal="left" vertical="center" wrapText="1"/>
    </xf>
    <xf numFmtId="0" fontId="65" fillId="0" borderId="0" xfId="0" applyFont="1" applyAlignment="1">
      <alignment wrapText="1"/>
    </xf>
    <xf numFmtId="0" fontId="63" fillId="0" borderId="0" xfId="0" applyFont="1" applyAlignment="1">
      <alignment wrapText="1"/>
    </xf>
    <xf numFmtId="164" fontId="63" fillId="0" borderId="0" xfId="42" applyNumberFormat="1" applyFont="1" applyAlignment="1">
      <alignment wrapText="1"/>
    </xf>
    <xf numFmtId="0" fontId="65" fillId="0" borderId="0" xfId="0" applyFont="1" applyAlignment="1">
      <alignment/>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164" fontId="65" fillId="0" borderId="19" xfId="42" applyNumberFormat="1" applyFont="1" applyBorder="1" applyAlignment="1">
      <alignment horizontal="center" vertical="center" wrapText="1"/>
    </xf>
    <xf numFmtId="0" fontId="5" fillId="0" borderId="15" xfId="0" applyFont="1" applyBorder="1" applyAlignment="1">
      <alignment horizontal="center" vertical="center" wrapText="1"/>
    </xf>
    <xf numFmtId="164" fontId="5" fillId="0" borderId="20" xfId="42" applyNumberFormat="1" applyFont="1" applyBorder="1" applyAlignment="1">
      <alignment vertical="center" wrapText="1"/>
    </xf>
    <xf numFmtId="3" fontId="63" fillId="0" borderId="20" xfId="0" applyNumberFormat="1" applyFont="1" applyBorder="1" applyAlignment="1">
      <alignment horizontal="right" vertical="center" wrapText="1"/>
    </xf>
    <xf numFmtId="164" fontId="2" fillId="0" borderId="20" xfId="42" applyNumberFormat="1" applyFont="1" applyBorder="1" applyAlignment="1">
      <alignment horizontal="right" vertical="center" wrapText="1"/>
    </xf>
    <xf numFmtId="164" fontId="2" fillId="0" borderId="20" xfId="42" applyNumberFormat="1" applyFont="1" applyBorder="1" applyAlignment="1">
      <alignment vertical="center" wrapText="1"/>
    </xf>
    <xf numFmtId="164" fontId="65" fillId="0" borderId="20" xfId="42" applyNumberFormat="1" applyFont="1" applyBorder="1" applyAlignment="1">
      <alignment vertical="center" wrapText="1"/>
    </xf>
    <xf numFmtId="164" fontId="63" fillId="0" borderId="20" xfId="42" applyNumberFormat="1" applyFont="1" applyBorder="1" applyAlignment="1">
      <alignment horizontal="right" vertical="center" wrapText="1"/>
    </xf>
    <xf numFmtId="164" fontId="63" fillId="0" borderId="20" xfId="42" applyNumberFormat="1" applyFont="1" applyBorder="1" applyAlignment="1">
      <alignment vertical="center" wrapText="1"/>
    </xf>
    <xf numFmtId="0" fontId="68" fillId="0" borderId="15" xfId="0" applyFont="1" applyBorder="1" applyAlignment="1">
      <alignment horizontal="center" vertical="center" wrapText="1"/>
    </xf>
    <xf numFmtId="164" fontId="68" fillId="0" borderId="20" xfId="42" applyNumberFormat="1" applyFont="1" applyBorder="1" applyAlignment="1">
      <alignment vertical="center" wrapText="1"/>
    </xf>
    <xf numFmtId="164" fontId="65" fillId="0" borderId="21" xfId="42" applyNumberFormat="1" applyFont="1" applyBorder="1" applyAlignment="1">
      <alignment vertical="center" wrapText="1"/>
    </xf>
    <xf numFmtId="0" fontId="65" fillId="0" borderId="0" xfId="0" applyFont="1" applyFill="1" applyAlignment="1">
      <alignment vertical="center" wrapText="1"/>
    </xf>
    <xf numFmtId="0" fontId="65" fillId="0" borderId="0" xfId="0" applyFont="1" applyFill="1" applyAlignment="1">
      <alignment vertical="top" wrapText="1"/>
    </xf>
    <xf numFmtId="0" fontId="65" fillId="34" borderId="10" xfId="0" applyFont="1" applyFill="1" applyBorder="1" applyAlignment="1">
      <alignment horizontal="justify" vertical="center" wrapText="1"/>
    </xf>
    <xf numFmtId="0" fontId="73" fillId="0" borderId="10" xfId="0" applyFont="1" applyBorder="1" applyAlignment="1">
      <alignment horizontal="justify" vertical="center" wrapText="1"/>
    </xf>
    <xf numFmtId="0" fontId="77" fillId="0" borderId="13"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5" fillId="0" borderId="14" xfId="0" applyFont="1" applyFill="1" applyBorder="1" applyAlignment="1">
      <alignment horizontal="center" vertical="center" wrapText="1"/>
    </xf>
    <xf numFmtId="164" fontId="65" fillId="0" borderId="14" xfId="42" applyNumberFormat="1" applyFont="1" applyFill="1" applyBorder="1" applyAlignment="1">
      <alignment horizontal="center" vertical="center" wrapText="1"/>
    </xf>
    <xf numFmtId="3" fontId="65" fillId="0" borderId="19" xfId="0" applyNumberFormat="1" applyFont="1" applyFill="1" applyBorder="1" applyAlignment="1">
      <alignment horizontal="center" vertical="center" wrapText="1"/>
    </xf>
    <xf numFmtId="0" fontId="65" fillId="0" borderId="15" xfId="0" applyFont="1" applyFill="1" applyBorder="1" applyAlignment="1">
      <alignment horizontal="center" vertical="center" wrapText="1"/>
    </xf>
    <xf numFmtId="3" fontId="78" fillId="33" borderId="20" xfId="0" applyNumberFormat="1" applyFont="1" applyFill="1" applyBorder="1" applyAlignment="1">
      <alignment vertical="center" wrapText="1"/>
    </xf>
    <xf numFmtId="3" fontId="65" fillId="0" borderId="20" xfId="0" applyNumberFormat="1" applyFont="1" applyFill="1" applyBorder="1" applyAlignment="1">
      <alignment horizontal="center" vertical="center" wrapText="1"/>
    </xf>
    <xf numFmtId="0" fontId="64" fillId="0" borderId="15" xfId="0" applyFont="1" applyFill="1" applyBorder="1" applyAlignment="1">
      <alignment horizontal="center" vertical="center" wrapText="1"/>
    </xf>
    <xf numFmtId="0" fontId="70" fillId="0" borderId="15" xfId="0" applyFont="1" applyFill="1" applyBorder="1" applyAlignment="1">
      <alignment horizontal="center" vertical="center" wrapText="1"/>
    </xf>
    <xf numFmtId="3" fontId="63" fillId="0" borderId="20"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20" xfId="0" applyFont="1" applyFill="1" applyBorder="1" applyAlignment="1">
      <alignment horizontal="center" vertical="center" wrapText="1"/>
    </xf>
    <xf numFmtId="3" fontId="65" fillId="33" borderId="20" xfId="0" applyNumberFormat="1" applyFont="1" applyFill="1" applyBorder="1" applyAlignment="1">
      <alignment vertical="center" wrapText="1"/>
    </xf>
    <xf numFmtId="0" fontId="65" fillId="0" borderId="20" xfId="0" applyFont="1" applyFill="1" applyBorder="1" applyAlignment="1">
      <alignment horizontal="center" vertical="center" wrapText="1"/>
    </xf>
    <xf numFmtId="3" fontId="65" fillId="33" borderId="20" xfId="0" applyNumberFormat="1" applyFont="1" applyFill="1" applyBorder="1" applyAlignment="1">
      <alignment horizontal="center" vertical="center" wrapText="1"/>
    </xf>
    <xf numFmtId="3" fontId="65" fillId="34" borderId="20" xfId="0" applyNumberFormat="1" applyFont="1" applyFill="1" applyBorder="1" applyAlignment="1">
      <alignment horizontal="center" vertical="center" wrapText="1"/>
    </xf>
    <xf numFmtId="0" fontId="63" fillId="33" borderId="15" xfId="0" applyFont="1" applyFill="1" applyBorder="1" applyAlignment="1">
      <alignment horizontal="center" vertical="center" wrapText="1"/>
    </xf>
    <xf numFmtId="3" fontId="63" fillId="33" borderId="20" xfId="0" applyNumberFormat="1" applyFont="1" applyFill="1" applyBorder="1" applyAlignment="1">
      <alignment horizontal="center" vertical="center" wrapText="1"/>
    </xf>
    <xf numFmtId="0" fontId="63" fillId="0" borderId="17" xfId="0" applyFont="1" applyFill="1" applyBorder="1" applyAlignment="1">
      <alignment horizontal="center" vertical="center" wrapText="1"/>
    </xf>
    <xf numFmtId="0" fontId="73" fillId="0" borderId="18" xfId="0" applyFont="1" applyBorder="1" applyAlignment="1">
      <alignment horizontal="left" vertical="center" wrapText="1"/>
    </xf>
    <xf numFmtId="0" fontId="63" fillId="0" borderId="18" xfId="0" applyFont="1" applyFill="1" applyBorder="1" applyAlignment="1">
      <alignment horizontal="center" vertical="center" wrapText="1"/>
    </xf>
    <xf numFmtId="164" fontId="63" fillId="0" borderId="18" xfId="42" applyNumberFormat="1" applyFont="1" applyFill="1" applyBorder="1" applyAlignment="1">
      <alignment horizontal="center" vertical="center" wrapText="1"/>
    </xf>
    <xf numFmtId="0" fontId="66" fillId="0" borderId="0" xfId="0" applyFont="1" applyFill="1" applyAlignment="1">
      <alignment horizontal="right" vertical="center" wrapText="1"/>
    </xf>
    <xf numFmtId="49" fontId="68" fillId="0" borderId="0" xfId="0" applyNumberFormat="1" applyFont="1" applyFill="1" applyAlignment="1">
      <alignment horizontal="right" vertical="center"/>
    </xf>
    <xf numFmtId="164" fontId="5" fillId="34" borderId="20" xfId="42" applyNumberFormat="1" applyFont="1" applyFill="1" applyBorder="1" applyAlignment="1">
      <alignment wrapText="1"/>
    </xf>
    <xf numFmtId="164" fontId="65" fillId="0" borderId="0" xfId="42" applyNumberFormat="1" applyFont="1" applyAlignment="1">
      <alignment vertical="center"/>
    </xf>
    <xf numFmtId="43" fontId="63" fillId="0" borderId="0" xfId="42" applyFont="1" applyAlignment="1">
      <alignment/>
    </xf>
    <xf numFmtId="0" fontId="75" fillId="0" borderId="0" xfId="0" applyFont="1" applyAlignment="1">
      <alignment horizontal="center" vertical="center" wrapText="1"/>
    </xf>
    <xf numFmtId="0" fontId="75" fillId="0" borderId="0" xfId="0" applyFont="1" applyAlignment="1">
      <alignment horizontal="center" vertical="center"/>
    </xf>
    <xf numFmtId="0" fontId="65"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71" fillId="0" borderId="0" xfId="0" applyFont="1" applyAlignment="1">
      <alignment/>
    </xf>
    <xf numFmtId="164" fontId="71" fillId="0" borderId="0" xfId="0" applyNumberFormat="1" applyFont="1" applyAlignment="1">
      <alignment/>
    </xf>
    <xf numFmtId="164" fontId="71" fillId="0" borderId="10" xfId="42" applyNumberFormat="1" applyFont="1" applyBorder="1" applyAlignment="1">
      <alignment vertical="center"/>
    </xf>
    <xf numFmtId="164" fontId="78" fillId="33" borderId="10" xfId="0" applyNumberFormat="1" applyFont="1" applyFill="1" applyBorder="1" applyAlignment="1">
      <alignment horizontal="center" vertical="center"/>
    </xf>
    <xf numFmtId="0" fontId="63" fillId="0" borderId="22" xfId="0" applyFont="1" applyBorder="1" applyAlignment="1">
      <alignment horizontal="justify" vertical="center" wrapText="1"/>
    </xf>
    <xf numFmtId="0" fontId="63" fillId="0" borderId="23" xfId="0" applyFont="1" applyBorder="1" applyAlignment="1">
      <alignment horizontal="justify" vertical="center" wrapText="1"/>
    </xf>
    <xf numFmtId="0" fontId="63" fillId="0" borderId="24" xfId="0" applyFont="1" applyBorder="1" applyAlignment="1">
      <alignment horizontal="justify" vertical="center" wrapText="1"/>
    </xf>
    <xf numFmtId="0" fontId="71" fillId="0" borderId="23" xfId="0" applyFont="1" applyBorder="1" applyAlignment="1">
      <alignment horizontal="center" vertical="center" wrapText="1"/>
    </xf>
    <xf numFmtId="0" fontId="63" fillId="0" borderId="0" xfId="0" applyFont="1" applyAlignment="1">
      <alignment horizontal="justify" vertical="center" wrapText="1"/>
    </xf>
    <xf numFmtId="0" fontId="70" fillId="0" borderId="23" xfId="0" applyFont="1" applyBorder="1" applyAlignment="1">
      <alignment horizontal="justify" vertical="center" wrapText="1"/>
    </xf>
    <xf numFmtId="0" fontId="63" fillId="0" borderId="23" xfId="0" applyFont="1" applyBorder="1" applyAlignment="1">
      <alignment horizontal="center" vertical="center"/>
    </xf>
    <xf numFmtId="0" fontId="63" fillId="0" borderId="23" xfId="0" applyFont="1" applyBorder="1" applyAlignment="1">
      <alignment horizontal="center" vertical="center" wrapText="1"/>
    </xf>
    <xf numFmtId="0" fontId="71" fillId="0" borderId="23" xfId="0" applyFont="1" applyBorder="1" applyAlignment="1">
      <alignment horizontal="justify" vertical="center" wrapText="1"/>
    </xf>
    <xf numFmtId="0" fontId="63" fillId="0" borderId="16" xfId="0" applyFont="1" applyFill="1" applyBorder="1" applyAlignment="1">
      <alignment horizontal="center" vertical="center" wrapText="1"/>
    </xf>
    <xf numFmtId="0" fontId="63" fillId="0" borderId="25" xfId="0" applyFont="1" applyBorder="1" applyAlignment="1">
      <alignment horizontal="justify" vertical="center" wrapText="1"/>
    </xf>
    <xf numFmtId="0" fontId="63" fillId="0" borderId="11" xfId="0" applyFont="1" applyFill="1" applyBorder="1" applyAlignment="1">
      <alignment horizontal="center" vertical="center" wrapText="1"/>
    </xf>
    <xf numFmtId="164" fontId="63" fillId="0" borderId="11" xfId="42" applyNumberFormat="1" applyFont="1" applyFill="1" applyBorder="1" applyAlignment="1">
      <alignment horizontal="center" vertical="center" wrapText="1"/>
    </xf>
    <xf numFmtId="3" fontId="63" fillId="0" borderId="26" xfId="0" applyNumberFormat="1" applyFont="1" applyFill="1" applyBorder="1" applyAlignment="1">
      <alignment horizontal="center" vertical="center" wrapText="1"/>
    </xf>
    <xf numFmtId="0" fontId="63" fillId="0" borderId="25" xfId="0" applyFont="1" applyBorder="1" applyAlignment="1">
      <alignment horizontal="center" vertical="center" wrapText="1"/>
    </xf>
    <xf numFmtId="0" fontId="66" fillId="0" borderId="10" xfId="0" applyFont="1" applyFill="1" applyBorder="1" applyAlignment="1">
      <alignment vertical="center" wrapText="1"/>
    </xf>
    <xf numFmtId="0" fontId="65" fillId="34" borderId="13" xfId="0" applyFont="1" applyFill="1" applyBorder="1" applyAlignment="1">
      <alignment horizontal="center" vertical="center" wrapText="1"/>
    </xf>
    <xf numFmtId="0" fontId="65" fillId="34" borderId="14" xfId="0" applyFont="1" applyFill="1" applyBorder="1" applyAlignment="1">
      <alignment horizontal="justify" vertical="center" wrapText="1"/>
    </xf>
    <xf numFmtId="0" fontId="65" fillId="34" borderId="14" xfId="0" applyFont="1" applyFill="1" applyBorder="1" applyAlignment="1">
      <alignment horizontal="left" vertical="center" wrapText="1"/>
    </xf>
    <xf numFmtId="0" fontId="65" fillId="34" borderId="14" xfId="0" applyFont="1" applyFill="1" applyBorder="1" applyAlignment="1">
      <alignment horizontal="center" vertical="center" wrapText="1"/>
    </xf>
    <xf numFmtId="0" fontId="63" fillId="34" borderId="14" xfId="0" applyFont="1" applyFill="1" applyBorder="1" applyAlignment="1">
      <alignment horizontal="center" vertical="center" wrapText="1"/>
    </xf>
    <xf numFmtId="164" fontId="65" fillId="34" borderId="14" xfId="42" applyNumberFormat="1" applyFont="1" applyFill="1" applyBorder="1" applyAlignment="1">
      <alignment horizontal="center" vertical="center" wrapText="1"/>
    </xf>
    <xf numFmtId="3" fontId="65" fillId="34" borderId="14" xfId="0" applyNumberFormat="1" applyFont="1" applyFill="1" applyBorder="1" applyAlignment="1">
      <alignment horizontal="center" vertical="center" wrapText="1"/>
    </xf>
    <xf numFmtId="0" fontId="66" fillId="34" borderId="14" xfId="0" applyFont="1" applyFill="1" applyBorder="1" applyAlignment="1">
      <alignment vertical="center" wrapText="1"/>
    </xf>
    <xf numFmtId="0" fontId="66" fillId="34" borderId="19" xfId="0" applyFont="1" applyFill="1" applyBorder="1" applyAlignment="1">
      <alignment vertical="center" wrapText="1"/>
    </xf>
    <xf numFmtId="0" fontId="76" fillId="0" borderId="20" xfId="0" applyFont="1" applyBorder="1" applyAlignment="1">
      <alignment horizontal="center" vertical="center"/>
    </xf>
    <xf numFmtId="0" fontId="76" fillId="0" borderId="20" xfId="0" applyFont="1" applyBorder="1" applyAlignment="1">
      <alignment horizontal="center" vertical="center" wrapText="1"/>
    </xf>
    <xf numFmtId="3" fontId="63" fillId="0" borderId="18" xfId="0" applyNumberFormat="1" applyFont="1" applyFill="1" applyBorder="1" applyAlignment="1">
      <alignment horizontal="center" vertical="center" wrapText="1"/>
    </xf>
    <xf numFmtId="0" fontId="66" fillId="0" borderId="18" xfId="0" applyFont="1" applyFill="1" applyBorder="1" applyAlignment="1">
      <alignment vertical="center" wrapText="1"/>
    </xf>
    <xf numFmtId="0" fontId="76" fillId="0" borderId="21" xfId="0" applyFont="1" applyBorder="1" applyAlignment="1">
      <alignment horizontal="center" vertical="center" wrapText="1"/>
    </xf>
    <xf numFmtId="49" fontId="63" fillId="0" borderId="0" xfId="0" applyNumberFormat="1" applyFont="1" applyFill="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Border="1" applyAlignment="1">
      <alignment horizontal="center" vertical="center" wrapText="1"/>
    </xf>
    <xf numFmtId="0" fontId="63" fillId="0" borderId="0" xfId="0" applyFont="1" applyFill="1" applyAlignment="1">
      <alignment wrapText="1"/>
    </xf>
    <xf numFmtId="3" fontId="65" fillId="0" borderId="10" xfId="0" applyNumberFormat="1" applyFont="1" applyBorder="1" applyAlignment="1">
      <alignment vertical="center"/>
    </xf>
    <xf numFmtId="0" fontId="79" fillId="0" borderId="0" xfId="0" applyFont="1" applyAlignment="1">
      <alignment vertical="center"/>
    </xf>
    <xf numFmtId="3" fontId="79" fillId="0" borderId="10" xfId="0" applyNumberFormat="1" applyFont="1" applyBorder="1" applyAlignment="1">
      <alignment vertical="center"/>
    </xf>
    <xf numFmtId="3" fontId="79" fillId="0" borderId="11" xfId="0" applyNumberFormat="1" applyFont="1" applyBorder="1" applyAlignment="1">
      <alignment horizontal="center" vertical="center" wrapText="1"/>
    </xf>
    <xf numFmtId="0" fontId="79" fillId="0" borderId="11" xfId="0" applyFont="1" applyBorder="1" applyAlignment="1">
      <alignment horizontal="center" vertical="center" wrapText="1"/>
    </xf>
    <xf numFmtId="0" fontId="79" fillId="0" borderId="11" xfId="0" applyFont="1" applyBorder="1" applyAlignment="1">
      <alignment horizontal="left" vertical="center" wrapText="1"/>
    </xf>
    <xf numFmtId="0" fontId="79" fillId="0" borderId="16" xfId="0" applyFont="1" applyBorder="1" applyAlignment="1">
      <alignment horizontal="center" vertical="center" wrapText="1"/>
    </xf>
    <xf numFmtId="164" fontId="79" fillId="0" borderId="0" xfId="42" applyNumberFormat="1" applyFont="1" applyAlignment="1">
      <alignment vertical="center"/>
    </xf>
    <xf numFmtId="3" fontId="79" fillId="34" borderId="10" xfId="0" applyNumberFormat="1" applyFont="1" applyFill="1" applyBorder="1" applyAlignment="1">
      <alignment vertical="center"/>
    </xf>
    <xf numFmtId="3" fontId="79" fillId="0" borderId="10" xfId="0" applyNumberFormat="1"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left" vertical="center" wrapText="1"/>
    </xf>
    <xf numFmtId="0" fontId="79" fillId="0" borderId="15" xfId="0" applyFont="1" applyBorder="1" applyAlignment="1">
      <alignment horizontal="center" vertical="center" wrapText="1"/>
    </xf>
    <xf numFmtId="3" fontId="63" fillId="34" borderId="10" xfId="0" applyNumberFormat="1" applyFont="1" applyFill="1" applyBorder="1" applyAlignment="1">
      <alignment vertical="center"/>
    </xf>
    <xf numFmtId="3" fontId="63" fillId="34" borderId="0" xfId="0" applyNumberFormat="1" applyFont="1" applyFill="1" applyAlignment="1">
      <alignment vertical="center"/>
    </xf>
    <xf numFmtId="3" fontId="65" fillId="34" borderId="10" xfId="0" applyNumberFormat="1" applyFont="1" applyFill="1" applyBorder="1" applyAlignment="1">
      <alignment vertical="center"/>
    </xf>
    <xf numFmtId="3" fontId="5" fillId="34" borderId="10" xfId="0" applyNumberFormat="1" applyFont="1" applyFill="1" applyBorder="1" applyAlignment="1">
      <alignment horizontal="right" vertical="center" wrapText="1"/>
    </xf>
    <xf numFmtId="3" fontId="75" fillId="0" borderId="10" xfId="0" applyNumberFormat="1" applyFont="1" applyBorder="1" applyAlignment="1">
      <alignment vertical="center"/>
    </xf>
    <xf numFmtId="0" fontId="66" fillId="0" borderId="27" xfId="0" applyFont="1" applyFill="1" applyBorder="1" applyAlignment="1">
      <alignment vertical="center" wrapText="1"/>
    </xf>
    <xf numFmtId="0" fontId="66" fillId="34" borderId="28" xfId="0" applyFont="1" applyFill="1" applyBorder="1" applyAlignment="1">
      <alignment vertical="center" wrapText="1"/>
    </xf>
    <xf numFmtId="0" fontId="76" fillId="0" borderId="29" xfId="0" applyFont="1" applyBorder="1" applyAlignment="1">
      <alignment horizontal="center" vertical="center"/>
    </xf>
    <xf numFmtId="0" fontId="76" fillId="0" borderId="29" xfId="0" applyFont="1" applyBorder="1" applyAlignment="1">
      <alignment horizontal="center" vertical="center" wrapText="1"/>
    </xf>
    <xf numFmtId="0" fontId="76" fillId="0" borderId="30" xfId="0" applyFont="1" applyBorder="1" applyAlignment="1">
      <alignment horizontal="center" vertical="center" wrapText="1"/>
    </xf>
    <xf numFmtId="3" fontId="67" fillId="0" borderId="0" xfId="0" applyNumberFormat="1" applyFont="1" applyFill="1" applyAlignment="1">
      <alignment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3" fontId="65" fillId="0" borderId="20" xfId="0" applyNumberFormat="1" applyFont="1" applyFill="1" applyBorder="1" applyAlignment="1">
      <alignment vertical="center" wrapText="1"/>
    </xf>
    <xf numFmtId="3" fontId="63" fillId="0" borderId="20" xfId="0" applyNumberFormat="1" applyFont="1" applyFill="1" applyBorder="1" applyAlignment="1">
      <alignment vertical="center" wrapText="1"/>
    </xf>
    <xf numFmtId="3" fontId="63" fillId="0" borderId="21" xfId="0" applyNumberFormat="1" applyFont="1" applyFill="1" applyBorder="1" applyAlignment="1">
      <alignment vertical="center" wrapText="1"/>
    </xf>
    <xf numFmtId="0" fontId="67" fillId="0" borderId="10" xfId="0" applyFont="1" applyFill="1" applyBorder="1" applyAlignment="1">
      <alignment vertical="center" wrapText="1"/>
    </xf>
    <xf numFmtId="0" fontId="66" fillId="34" borderId="10" xfId="0" applyFont="1" applyFill="1" applyBorder="1" applyAlignment="1">
      <alignment vertical="center" wrapText="1"/>
    </xf>
    <xf numFmtId="0" fontId="70" fillId="0" borderId="10" xfId="0" applyFont="1" applyBorder="1" applyAlignment="1">
      <alignment horizontal="justify" vertical="center" wrapText="1"/>
    </xf>
    <xf numFmtId="3" fontId="63" fillId="33" borderId="10" xfId="0" applyNumberFormat="1" applyFont="1" applyFill="1" applyBorder="1" applyAlignment="1">
      <alignment horizontal="center" vertical="center" wrapText="1"/>
    </xf>
    <xf numFmtId="0" fontId="65" fillId="0" borderId="31" xfId="0" applyFont="1" applyFill="1" applyBorder="1" applyAlignment="1">
      <alignment horizontal="center" vertical="center" wrapText="1"/>
    </xf>
    <xf numFmtId="3" fontId="78" fillId="33" borderId="31" xfId="0" applyNumberFormat="1" applyFont="1" applyFill="1" applyBorder="1" applyAlignment="1">
      <alignment vertical="center" wrapText="1"/>
    </xf>
    <xf numFmtId="0" fontId="77" fillId="0" borderId="32"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5" fillId="0" borderId="33" xfId="0" applyFont="1" applyFill="1" applyBorder="1" applyAlignment="1">
      <alignment horizontal="center" vertical="center" wrapText="1"/>
    </xf>
    <xf numFmtId="164" fontId="65" fillId="0" borderId="33" xfId="42" applyNumberFormat="1" applyFont="1" applyFill="1" applyBorder="1" applyAlignment="1">
      <alignment horizontal="center" vertical="center" wrapText="1"/>
    </xf>
    <xf numFmtId="3" fontId="65" fillId="0" borderId="34"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65" fillId="13" borderId="10" xfId="0" applyFont="1" applyFill="1" applyBorder="1" applyAlignment="1">
      <alignment horizontal="center" vertical="center" wrapText="1"/>
    </xf>
    <xf numFmtId="0" fontId="65" fillId="13" borderId="10" xfId="0" applyFont="1" applyFill="1" applyBorder="1" applyAlignment="1">
      <alignment vertical="center" wrapText="1"/>
    </xf>
    <xf numFmtId="164" fontId="65" fillId="13" borderId="10" xfId="0" applyNumberFormat="1" applyFont="1" applyFill="1" applyBorder="1" applyAlignment="1">
      <alignment vertical="center" wrapText="1"/>
    </xf>
    <xf numFmtId="3" fontId="65" fillId="13" borderId="10" xfId="0" applyNumberFormat="1" applyFont="1" applyFill="1" applyBorder="1" applyAlignment="1">
      <alignment vertical="center" wrapText="1"/>
    </xf>
    <xf numFmtId="0" fontId="67" fillId="13" borderId="10" xfId="0" applyFont="1" applyFill="1" applyBorder="1" applyAlignment="1">
      <alignment vertical="center" wrapText="1"/>
    </xf>
    <xf numFmtId="3" fontId="65" fillId="13" borderId="10" xfId="0" applyNumberFormat="1" applyFont="1" applyFill="1" applyBorder="1" applyAlignment="1">
      <alignment horizontal="center" vertical="center" wrapText="1"/>
    </xf>
    <xf numFmtId="3" fontId="65" fillId="13" borderId="20" xfId="0" applyNumberFormat="1" applyFont="1" applyFill="1" applyBorder="1" applyAlignment="1">
      <alignment vertical="center" wrapText="1"/>
    </xf>
    <xf numFmtId="0" fontId="65" fillId="13" borderId="10" xfId="0" applyFont="1" applyFill="1" applyBorder="1" applyAlignment="1">
      <alignment horizontal="center" vertical="center"/>
    </xf>
    <xf numFmtId="0" fontId="66" fillId="13" borderId="10" xfId="0" applyFont="1" applyFill="1" applyBorder="1" applyAlignment="1">
      <alignment vertical="center" wrapText="1"/>
    </xf>
    <xf numFmtId="0" fontId="67" fillId="33" borderId="31" xfId="0" applyFont="1" applyFill="1" applyBorder="1" applyAlignment="1">
      <alignment vertical="center" wrapText="1"/>
    </xf>
    <xf numFmtId="3" fontId="78" fillId="33" borderId="31" xfId="0" applyNumberFormat="1" applyFont="1" applyFill="1" applyBorder="1" applyAlignment="1">
      <alignment horizontal="center" vertical="center" wrapText="1"/>
    </xf>
    <xf numFmtId="3" fontId="78" fillId="33" borderId="36" xfId="0" applyNumberFormat="1" applyFont="1" applyFill="1" applyBorder="1" applyAlignment="1">
      <alignment vertical="center" wrapText="1"/>
    </xf>
    <xf numFmtId="0" fontId="63" fillId="0" borderId="10" xfId="0" applyFont="1" applyBorder="1" applyAlignment="1">
      <alignment wrapText="1"/>
    </xf>
    <xf numFmtId="0" fontId="5" fillId="10" borderId="10" xfId="0" applyFont="1" applyFill="1" applyBorder="1" applyAlignment="1">
      <alignment horizontal="justify" vertical="center" wrapText="1"/>
    </xf>
    <xf numFmtId="164" fontId="5" fillId="10" borderId="10" xfId="42" applyNumberFormat="1" applyFont="1" applyFill="1" applyBorder="1" applyAlignment="1">
      <alignment wrapText="1"/>
    </xf>
    <xf numFmtId="0" fontId="63" fillId="10" borderId="10" xfId="0" applyFont="1" applyFill="1" applyBorder="1" applyAlignment="1">
      <alignment wrapText="1"/>
    </xf>
    <xf numFmtId="3" fontId="65" fillId="10" borderId="10" xfId="0" applyNumberFormat="1" applyFont="1" applyFill="1" applyBorder="1" applyAlignment="1">
      <alignment wrapText="1"/>
    </xf>
    <xf numFmtId="164" fontId="5" fillId="0" borderId="10" xfId="42" applyNumberFormat="1" applyFont="1" applyBorder="1" applyAlignment="1">
      <alignment vertical="center" wrapText="1"/>
    </xf>
    <xf numFmtId="3" fontId="65" fillId="0" borderId="10" xfId="0" applyNumberFormat="1" applyFont="1" applyBorder="1" applyAlignment="1">
      <alignment wrapText="1"/>
    </xf>
    <xf numFmtId="3" fontId="63" fillId="0" borderId="10" xfId="0" applyNumberFormat="1" applyFont="1" applyBorder="1" applyAlignment="1">
      <alignment wrapText="1"/>
    </xf>
    <xf numFmtId="164" fontId="2" fillId="0" borderId="10" xfId="42" applyNumberFormat="1" applyFont="1" applyBorder="1" applyAlignment="1">
      <alignment vertical="center" wrapText="1"/>
    </xf>
    <xf numFmtId="164" fontId="65" fillId="13" borderId="10" xfId="42" applyNumberFormat="1" applyFont="1" applyFill="1" applyBorder="1" applyAlignment="1">
      <alignment vertical="center" wrapText="1"/>
    </xf>
    <xf numFmtId="0" fontId="63" fillId="13" borderId="10" xfId="0" applyFont="1" applyFill="1" applyBorder="1" applyAlignment="1">
      <alignment wrapText="1"/>
    </xf>
    <xf numFmtId="3" fontId="65" fillId="13" borderId="10" xfId="0" applyNumberFormat="1" applyFont="1" applyFill="1" applyBorder="1" applyAlignment="1">
      <alignment wrapText="1"/>
    </xf>
    <xf numFmtId="164" fontId="65" fillId="0" borderId="10" xfId="42" applyNumberFormat="1" applyFont="1" applyBorder="1" applyAlignment="1">
      <alignment vertical="center" wrapText="1"/>
    </xf>
    <xf numFmtId="164" fontId="63" fillId="0" borderId="10" xfId="42" applyNumberFormat="1" applyFont="1" applyBorder="1" applyAlignment="1">
      <alignment horizontal="right" vertical="center" wrapText="1"/>
    </xf>
    <xf numFmtId="164" fontId="63" fillId="0" borderId="10" xfId="42" applyNumberFormat="1" applyFont="1" applyBorder="1" applyAlignment="1">
      <alignment vertical="center" wrapText="1"/>
    </xf>
    <xf numFmtId="164" fontId="68" fillId="0" borderId="10" xfId="42" applyNumberFormat="1" applyFont="1" applyBorder="1" applyAlignment="1">
      <alignment vertical="center" wrapText="1"/>
    </xf>
    <xf numFmtId="3" fontId="68" fillId="0" borderId="10" xfId="0" applyNumberFormat="1" applyFont="1" applyBorder="1" applyAlignment="1">
      <alignment wrapText="1"/>
    </xf>
    <xf numFmtId="164" fontId="78" fillId="0" borderId="10" xfId="42" applyNumberFormat="1" applyFont="1" applyBorder="1" applyAlignment="1">
      <alignment vertical="center" wrapText="1"/>
    </xf>
    <xf numFmtId="164" fontId="65" fillId="0" borderId="14" xfId="42" applyNumberFormat="1" applyFont="1" applyBorder="1" applyAlignment="1">
      <alignment horizontal="center" vertical="center" wrapText="1"/>
    </xf>
    <xf numFmtId="0" fontId="63" fillId="0" borderId="14" xfId="0" applyFont="1" applyBorder="1" applyAlignment="1">
      <alignment wrapText="1"/>
    </xf>
    <xf numFmtId="0" fontId="65" fillId="0" borderId="19" xfId="0" applyFont="1" applyBorder="1" applyAlignment="1">
      <alignment horizontal="center" wrapText="1"/>
    </xf>
    <xf numFmtId="0" fontId="5" fillId="10" borderId="15" xfId="0" applyFont="1" applyFill="1" applyBorder="1" applyAlignment="1">
      <alignment horizontal="center" vertical="center" wrapText="1"/>
    </xf>
    <xf numFmtId="0" fontId="63" fillId="0" borderId="20" xfId="0" applyFont="1" applyBorder="1" applyAlignment="1">
      <alignment wrapText="1"/>
    </xf>
    <xf numFmtId="0" fontId="65" fillId="13" borderId="15" xfId="0" applyFont="1" applyFill="1" applyBorder="1" applyAlignment="1">
      <alignment horizontal="center" vertical="center" wrapText="1"/>
    </xf>
    <xf numFmtId="0" fontId="63" fillId="0" borderId="20" xfId="0" applyFont="1" applyFill="1" applyBorder="1" applyAlignment="1">
      <alignment wrapText="1"/>
    </xf>
    <xf numFmtId="0" fontId="63" fillId="0" borderId="20" xfId="0" applyFont="1" applyBorder="1" applyAlignment="1">
      <alignment horizontal="center" vertical="center" wrapText="1"/>
    </xf>
    <xf numFmtId="0" fontId="63" fillId="0" borderId="20" xfId="0" applyFont="1" applyBorder="1" applyAlignment="1">
      <alignment horizontal="right" vertical="center" wrapText="1"/>
    </xf>
    <xf numFmtId="164" fontId="63" fillId="0" borderId="18" xfId="42" applyNumberFormat="1" applyFont="1" applyBorder="1" applyAlignment="1">
      <alignment wrapText="1"/>
    </xf>
    <xf numFmtId="0" fontId="63" fillId="0" borderId="18" xfId="0" applyFont="1" applyBorder="1" applyAlignment="1">
      <alignment wrapText="1"/>
    </xf>
    <xf numFmtId="164" fontId="65" fillId="0" borderId="18" xfId="0" applyNumberFormat="1" applyFont="1" applyBorder="1" applyAlignment="1">
      <alignment wrapText="1"/>
    </xf>
    <xf numFmtId="0" fontId="63" fillId="0" borderId="21" xfId="0" applyFont="1" applyBorder="1" applyAlignment="1">
      <alignment wrapText="1"/>
    </xf>
    <xf numFmtId="0" fontId="63" fillId="0" borderId="10" xfId="0" applyFont="1" applyBorder="1" applyAlignment="1">
      <alignment horizontal="left" vertical="center" wrapText="1"/>
    </xf>
    <xf numFmtId="0" fontId="65" fillId="0" borderId="10" xfId="0" applyFont="1" applyBorder="1" applyAlignment="1">
      <alignment horizontal="left" vertical="center" wrapText="1"/>
    </xf>
    <xf numFmtId="3" fontId="65" fillId="0" borderId="10" xfId="0" applyNumberFormat="1" applyFont="1" applyBorder="1" applyAlignment="1">
      <alignment vertical="center" wrapText="1"/>
    </xf>
    <xf numFmtId="43" fontId="63" fillId="0" borderId="0" xfId="42" applyFont="1" applyAlignment="1">
      <alignment wrapText="1"/>
    </xf>
    <xf numFmtId="43" fontId="63" fillId="0" borderId="0" xfId="0" applyNumberFormat="1" applyFont="1" applyAlignment="1">
      <alignment wrapText="1"/>
    </xf>
    <xf numFmtId="0" fontId="80" fillId="0" borderId="15" xfId="0" applyFont="1" applyFill="1" applyBorder="1" applyAlignment="1">
      <alignment horizontal="center" vertical="center" wrapText="1"/>
    </xf>
    <xf numFmtId="0" fontId="80" fillId="0" borderId="10" xfId="0" applyFont="1" applyFill="1" applyBorder="1" applyAlignment="1">
      <alignment horizontal="justify" vertical="center" wrapText="1"/>
    </xf>
    <xf numFmtId="164" fontId="80" fillId="0" borderId="10" xfId="42" applyNumberFormat="1" applyFont="1" applyFill="1" applyBorder="1" applyAlignment="1">
      <alignment vertical="center" wrapText="1"/>
    </xf>
    <xf numFmtId="0" fontId="80" fillId="0" borderId="10" xfId="0" applyFont="1" applyFill="1" applyBorder="1" applyAlignment="1">
      <alignment vertical="center" wrapText="1"/>
    </xf>
    <xf numFmtId="3" fontId="80" fillId="0" borderId="10" xfId="0" applyNumberFormat="1" applyFont="1" applyFill="1" applyBorder="1" applyAlignment="1">
      <alignment vertical="center" wrapText="1"/>
    </xf>
    <xf numFmtId="0" fontId="81" fillId="0" borderId="20" xfId="0" applyFont="1" applyFill="1" applyBorder="1" applyAlignment="1">
      <alignment horizontal="center" vertical="center" wrapText="1"/>
    </xf>
    <xf numFmtId="0" fontId="80" fillId="0" borderId="0" xfId="0" applyFont="1" applyFill="1" applyAlignment="1">
      <alignment wrapText="1"/>
    </xf>
    <xf numFmtId="0" fontId="65" fillId="0" borderId="17"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0" xfId="0" applyFont="1" applyAlignment="1">
      <alignment horizontal="center" vertical="center" wrapText="1"/>
    </xf>
    <xf numFmtId="0" fontId="65" fillId="0" borderId="0"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10" xfId="0" applyFont="1" applyBorder="1" applyAlignment="1">
      <alignment horizontal="center" vertical="center" wrapText="1"/>
    </xf>
    <xf numFmtId="0" fontId="65" fillId="0" borderId="17" xfId="0" applyFont="1" applyBorder="1" applyAlignment="1">
      <alignment horizontal="center" wrapText="1"/>
    </xf>
    <xf numFmtId="0" fontId="65" fillId="0" borderId="18" xfId="0" applyFont="1" applyBorder="1" applyAlignment="1">
      <alignment horizontal="center" wrapText="1"/>
    </xf>
    <xf numFmtId="0" fontId="63" fillId="0" borderId="20" xfId="0" applyFont="1" applyFill="1" applyBorder="1" applyAlignment="1">
      <alignment horizontal="center" wrapText="1"/>
    </xf>
    <xf numFmtId="0" fontId="65"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center" vertical="center"/>
    </xf>
    <xf numFmtId="0" fontId="63" fillId="0" borderId="0" xfId="0" applyFont="1" applyAlignment="1">
      <alignment horizontal="left" vertical="center" wrapText="1"/>
    </xf>
    <xf numFmtId="49" fontId="63" fillId="0" borderId="0" xfId="0" applyNumberFormat="1" applyFont="1" applyFill="1" applyAlignment="1">
      <alignment horizontal="justify" vertical="center" wrapText="1"/>
    </xf>
    <xf numFmtId="0" fontId="65" fillId="0" borderId="10" xfId="0" applyFont="1" applyFill="1" applyBorder="1" applyAlignment="1">
      <alignment horizontal="left" vertical="center" wrapText="1"/>
    </xf>
    <xf numFmtId="0" fontId="75" fillId="0" borderId="0" xfId="0" applyFont="1" applyFill="1" applyAlignment="1">
      <alignment horizontal="center" vertical="top" wrapText="1"/>
    </xf>
    <xf numFmtId="0" fontId="65" fillId="0" borderId="10" xfId="0" applyFont="1" applyFill="1" applyBorder="1" applyAlignment="1">
      <alignment horizontal="center" vertical="center" wrapText="1"/>
    </xf>
    <xf numFmtId="0" fontId="63" fillId="0" borderId="37" xfId="0" applyFont="1" applyBorder="1" applyAlignment="1">
      <alignment horizontal="center" vertical="center"/>
    </xf>
    <xf numFmtId="0" fontId="63" fillId="0" borderId="38" xfId="0" applyFont="1" applyBorder="1" applyAlignment="1">
      <alignment horizontal="center" vertical="center"/>
    </xf>
    <xf numFmtId="0" fontId="63" fillId="0" borderId="24" xfId="0" applyFont="1" applyBorder="1" applyAlignment="1">
      <alignment horizontal="center" vertical="center"/>
    </xf>
    <xf numFmtId="0" fontId="63" fillId="0" borderId="39" xfId="0" applyFont="1" applyBorder="1" applyAlignment="1">
      <alignment horizontal="center"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3" fillId="0" borderId="42" xfId="0" applyFont="1" applyBorder="1" applyAlignment="1">
      <alignment horizontal="center" vertical="center"/>
    </xf>
    <xf numFmtId="0" fontId="65" fillId="0" borderId="31" xfId="0" applyFont="1" applyFill="1" applyBorder="1" applyAlignment="1">
      <alignment horizontal="center" vertical="center" wrapText="1"/>
    </xf>
    <xf numFmtId="0" fontId="65" fillId="13" borderId="10" xfId="0" applyFont="1" applyFill="1" applyBorder="1" applyAlignment="1">
      <alignment horizontal="center" vertical="center" wrapText="1"/>
    </xf>
    <xf numFmtId="0" fontId="63" fillId="0" borderId="25" xfId="0" applyFont="1" applyBorder="1" applyAlignment="1">
      <alignment horizontal="center" vertical="center"/>
    </xf>
    <xf numFmtId="0" fontId="63" fillId="0" borderId="23" xfId="0" applyFont="1" applyBorder="1" applyAlignment="1">
      <alignment horizontal="center" vertical="center"/>
    </xf>
    <xf numFmtId="0" fontId="63" fillId="0" borderId="43" xfId="0" applyFont="1" applyBorder="1" applyAlignment="1">
      <alignment horizontal="center" vertical="center"/>
    </xf>
    <xf numFmtId="41" fontId="2" fillId="0" borderId="11" xfId="0" applyNumberFormat="1" applyFont="1" applyBorder="1" applyAlignment="1">
      <alignment vertical="center" wrapText="1"/>
    </xf>
    <xf numFmtId="41" fontId="2" fillId="0" borderId="31" xfId="0" applyNumberFormat="1" applyFont="1" applyBorder="1" applyAlignment="1">
      <alignment vertical="center" wrapText="1"/>
    </xf>
    <xf numFmtId="41" fontId="2" fillId="0" borderId="44" xfId="0" applyNumberFormat="1" applyFont="1" applyBorder="1" applyAlignment="1">
      <alignment vertical="center" wrapText="1"/>
    </xf>
    <xf numFmtId="0" fontId="65" fillId="0" borderId="12" xfId="0" applyFont="1" applyBorder="1" applyAlignment="1">
      <alignment horizontal="center" vertical="center" wrapText="1"/>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0" borderId="45" xfId="0" applyFont="1" applyBorder="1" applyAlignment="1">
      <alignment horizontal="center" vertical="center"/>
    </xf>
    <xf numFmtId="0" fontId="65" fillId="0" borderId="46" xfId="0" applyFont="1" applyBorder="1" applyAlignment="1">
      <alignment horizontal="center" vertical="center"/>
    </xf>
    <xf numFmtId="0" fontId="65" fillId="0" borderId="47" xfId="0" applyFont="1" applyBorder="1" applyAlignment="1">
      <alignment horizontal="center" vertical="center"/>
    </xf>
    <xf numFmtId="0" fontId="65" fillId="0" borderId="11" xfId="0" applyFont="1" applyBorder="1" applyAlignment="1">
      <alignment horizontal="center" vertical="center" wrapText="1"/>
    </xf>
    <xf numFmtId="0" fontId="65" fillId="0" borderId="31" xfId="0" applyFont="1" applyBorder="1" applyAlignment="1">
      <alignment horizontal="center" vertical="center" wrapText="1"/>
    </xf>
    <xf numFmtId="0" fontId="63" fillId="0" borderId="10" xfId="0" applyFont="1" applyBorder="1" applyAlignment="1">
      <alignment horizontal="left" vertical="center" wrapText="1"/>
    </xf>
    <xf numFmtId="0" fontId="65"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7"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6" xfId="0" applyFont="1" applyBorder="1" applyAlignment="1">
      <alignment horizontal="left" vertical="center" wrapText="1"/>
    </xf>
    <xf numFmtId="0" fontId="69" fillId="0" borderId="10" xfId="0" applyFont="1" applyBorder="1" applyAlignment="1">
      <alignment horizontal="center" vertical="center"/>
    </xf>
    <xf numFmtId="0" fontId="63" fillId="0" borderId="10" xfId="0" applyFont="1" applyBorder="1" applyAlignment="1">
      <alignment horizontal="center"/>
    </xf>
    <xf numFmtId="3" fontId="5" fillId="0" borderId="11" xfId="57" applyNumberFormat="1" applyFont="1" applyBorder="1" applyAlignment="1">
      <alignment horizontal="center" vertical="center" wrapText="1"/>
      <protection/>
    </xf>
    <xf numFmtId="3" fontId="5" fillId="0" borderId="31" xfId="57" applyNumberFormat="1" applyFont="1" applyBorder="1" applyAlignment="1">
      <alignment horizontal="center" vertical="center" wrapText="1"/>
      <protection/>
    </xf>
    <xf numFmtId="0" fontId="5" fillId="0" borderId="10" xfId="57" applyFont="1" applyBorder="1" applyAlignment="1">
      <alignment horizontal="center" vertical="center"/>
      <protection/>
    </xf>
    <xf numFmtId="3" fontId="5" fillId="0" borderId="10" xfId="57" applyNumberFormat="1" applyFont="1" applyBorder="1" applyAlignment="1">
      <alignment horizontal="center" vertical="center"/>
      <protection/>
    </xf>
    <xf numFmtId="0" fontId="65" fillId="0" borderId="10" xfId="0" applyFont="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52"/>
  <sheetViews>
    <sheetView zoomScale="112" zoomScaleNormal="112" zoomScalePageLayoutView="0" workbookViewId="0" topLeftCell="A1">
      <selection activeCell="C56" sqref="C56"/>
    </sheetView>
  </sheetViews>
  <sheetFormatPr defaultColWidth="9.140625" defaultRowHeight="15"/>
  <cols>
    <col min="1" max="1" width="7.8515625" style="159" customWidth="1"/>
    <col min="2" max="2" width="63.140625" style="159" customWidth="1"/>
    <col min="3" max="3" width="19.00390625" style="160" customWidth="1"/>
    <col min="4" max="4" width="0" style="159" hidden="1" customWidth="1"/>
    <col min="5" max="16384" width="9.140625" style="159" customWidth="1"/>
  </cols>
  <sheetData>
    <row r="1" ht="15.75">
      <c r="A1" s="161" t="s">
        <v>539</v>
      </c>
    </row>
    <row r="2" spans="1:3" ht="15.75" customHeight="1">
      <c r="A2" s="350" t="s">
        <v>542</v>
      </c>
      <c r="B2" s="350"/>
      <c r="C2" s="350"/>
    </row>
    <row r="3" spans="1:3" ht="40.5" customHeight="1" thickBot="1">
      <c r="A3" s="351"/>
      <c r="B3" s="351"/>
      <c r="C3" s="351"/>
    </row>
    <row r="4" spans="1:3" ht="15.75">
      <c r="A4" s="162" t="s">
        <v>273</v>
      </c>
      <c r="B4" s="163" t="s">
        <v>320</v>
      </c>
      <c r="C4" s="164" t="s">
        <v>288</v>
      </c>
    </row>
    <row r="5" spans="1:3" ht="15.75">
      <c r="A5" s="165" t="s">
        <v>0</v>
      </c>
      <c r="B5" s="88" t="s">
        <v>375</v>
      </c>
      <c r="C5" s="205">
        <f>SUBTOTAL(9,C6:C16)</f>
        <v>623550000</v>
      </c>
    </row>
    <row r="6" spans="1:3" ht="15.75">
      <c r="A6" s="165" t="s">
        <v>237</v>
      </c>
      <c r="B6" s="88" t="s">
        <v>534</v>
      </c>
      <c r="C6" s="166">
        <f>SUBTOTAL(9,C7:C12)</f>
        <v>421850000</v>
      </c>
    </row>
    <row r="7" spans="1:3" ht="15.75">
      <c r="A7" s="165">
        <v>1</v>
      </c>
      <c r="B7" s="88" t="s">
        <v>535</v>
      </c>
      <c r="C7" s="166">
        <f>SUBTOTAL(9,C8:C11)</f>
        <v>383500000</v>
      </c>
    </row>
    <row r="8" spans="1:3" ht="31.5">
      <c r="A8" s="132" t="s">
        <v>376</v>
      </c>
      <c r="B8" s="156" t="s">
        <v>491</v>
      </c>
      <c r="C8" s="167">
        <v>45000000</v>
      </c>
    </row>
    <row r="9" spans="1:3" ht="15.75">
      <c r="A9" s="132" t="s">
        <v>377</v>
      </c>
      <c r="B9" s="156" t="s">
        <v>476</v>
      </c>
      <c r="C9" s="167">
        <v>288000000</v>
      </c>
    </row>
    <row r="10" spans="1:3" ht="15.75">
      <c r="A10" s="132" t="s">
        <v>378</v>
      </c>
      <c r="B10" s="156" t="s">
        <v>494</v>
      </c>
      <c r="C10" s="168">
        <v>22500000</v>
      </c>
    </row>
    <row r="11" spans="1:3" ht="15.75">
      <c r="A11" s="132" t="s">
        <v>379</v>
      </c>
      <c r="B11" s="156" t="s">
        <v>286</v>
      </c>
      <c r="C11" s="169">
        <v>28000000</v>
      </c>
    </row>
    <row r="12" spans="1:3" s="158" customFormat="1" ht="15.75">
      <c r="A12" s="134">
        <v>2</v>
      </c>
      <c r="B12" s="157" t="s">
        <v>496</v>
      </c>
      <c r="C12" s="166">
        <f>0.1*C7</f>
        <v>38350000</v>
      </c>
    </row>
    <row r="13" spans="1:3" ht="15.75">
      <c r="A13" s="134" t="s">
        <v>238</v>
      </c>
      <c r="B13" s="157" t="s">
        <v>497</v>
      </c>
      <c r="C13" s="166">
        <f>SUBTOTAL(9,C14:C16)</f>
        <v>201700000</v>
      </c>
    </row>
    <row r="14" spans="1:3" ht="15.75">
      <c r="A14" s="132">
        <v>1</v>
      </c>
      <c r="B14" s="156" t="s">
        <v>498</v>
      </c>
      <c r="C14" s="169">
        <f>'Nhiệm vụ QH'!K27</f>
        <v>114750000</v>
      </c>
    </row>
    <row r="15" spans="1:3" ht="31.5">
      <c r="A15" s="132">
        <v>2</v>
      </c>
      <c r="B15" s="156" t="s">
        <v>505</v>
      </c>
      <c r="C15" s="169">
        <f>'Nhiệm vụ QH'!K38</f>
        <v>7000000</v>
      </c>
    </row>
    <row r="16" spans="1:3" ht="15.75">
      <c r="A16" s="132">
        <v>3</v>
      </c>
      <c r="B16" s="156" t="s">
        <v>512</v>
      </c>
      <c r="C16" s="169">
        <f>'Nhiệm vụ QH'!K41</f>
        <v>79950000</v>
      </c>
    </row>
    <row r="17" spans="1:3" ht="15.75">
      <c r="A17" s="134" t="s">
        <v>10</v>
      </c>
      <c r="B17" s="29" t="s">
        <v>382</v>
      </c>
      <c r="C17" s="170">
        <f>C49+C50</f>
        <v>71346402974.38705</v>
      </c>
    </row>
    <row r="18" spans="1:4" ht="15.75">
      <c r="A18" s="134" t="s">
        <v>237</v>
      </c>
      <c r="B18" s="29" t="s">
        <v>365</v>
      </c>
      <c r="C18" s="170">
        <f>SUM(C19:C37)</f>
        <v>18720925000</v>
      </c>
      <c r="D18" s="159">
        <v>18720</v>
      </c>
    </row>
    <row r="19" spans="1:3" ht="15.75">
      <c r="A19" s="132" t="s">
        <v>376</v>
      </c>
      <c r="B19" s="34" t="s">
        <v>11</v>
      </c>
      <c r="C19" s="171">
        <f>'Lập QH_Trực tiếp'!H62*1000</f>
        <v>1518867500</v>
      </c>
    </row>
    <row r="20" spans="1:3" ht="31.5">
      <c r="A20" s="132" t="s">
        <v>377</v>
      </c>
      <c r="B20" s="34" t="s">
        <v>56</v>
      </c>
      <c r="C20" s="171">
        <f>'Lập QH_Trực tiếp'!H87*1000</f>
        <v>964155000</v>
      </c>
    </row>
    <row r="21" spans="1:3" ht="31.5">
      <c r="A21" s="132" t="s">
        <v>378</v>
      </c>
      <c r="B21" s="34" t="s">
        <v>58</v>
      </c>
      <c r="C21" s="171">
        <f>'Lập QH_Trực tiếp'!H97*1000</f>
        <v>3066590000</v>
      </c>
    </row>
    <row r="22" spans="1:3" ht="15.75">
      <c r="A22" s="132" t="s">
        <v>379</v>
      </c>
      <c r="B22" s="34" t="s">
        <v>66</v>
      </c>
      <c r="C22" s="171">
        <f>'Lập QH_Trực tiếp'!H109*1000</f>
        <v>780080000</v>
      </c>
    </row>
    <row r="23" spans="1:3" ht="15.75">
      <c r="A23" s="132" t="s">
        <v>380</v>
      </c>
      <c r="B23" s="34" t="s">
        <v>164</v>
      </c>
      <c r="C23" s="171">
        <f>'Lập QH_Trực tiếp'!H125*1000</f>
        <v>231337500</v>
      </c>
    </row>
    <row r="24" spans="1:3" ht="31.5">
      <c r="A24" s="132" t="s">
        <v>381</v>
      </c>
      <c r="B24" s="34" t="s">
        <v>166</v>
      </c>
      <c r="C24" s="171">
        <f>'Lập QH_Trực tiếp'!H129*1000</f>
        <v>577597500</v>
      </c>
    </row>
    <row r="25" spans="1:3" ht="31.5">
      <c r="A25" s="132" t="s">
        <v>383</v>
      </c>
      <c r="B25" s="34" t="s">
        <v>171</v>
      </c>
      <c r="C25" s="171">
        <f>'Lập QH_Trực tiếp'!H135*1000</f>
        <v>1253700000</v>
      </c>
    </row>
    <row r="26" spans="1:3" ht="31.5">
      <c r="A26" s="132" t="s">
        <v>384</v>
      </c>
      <c r="B26" s="34" t="s">
        <v>172</v>
      </c>
      <c r="C26" s="171">
        <f>'Lập QH_Trực tiếp'!H143*1000</f>
        <v>1262655000</v>
      </c>
    </row>
    <row r="27" spans="1:3" ht="15.75">
      <c r="A27" s="132" t="s">
        <v>385</v>
      </c>
      <c r="B27" s="34" t="s">
        <v>176</v>
      </c>
      <c r="C27" s="171">
        <f>'Lập QH_Trực tiếp'!H152*1000</f>
        <v>362677500</v>
      </c>
    </row>
    <row r="28" spans="1:3" ht="31.5">
      <c r="A28" s="132" t="s">
        <v>386</v>
      </c>
      <c r="B28" s="34" t="s">
        <v>177</v>
      </c>
      <c r="C28" s="171">
        <f>'Lập QH_Trực tiếp'!H156*1000</f>
        <v>1009427500</v>
      </c>
    </row>
    <row r="29" spans="1:3" ht="15.75">
      <c r="A29" s="132" t="s">
        <v>387</v>
      </c>
      <c r="B29" s="34" t="s">
        <v>89</v>
      </c>
      <c r="C29" s="171">
        <f>'Lập QH_Trực tiếp'!H164*1000</f>
        <v>238800000</v>
      </c>
    </row>
    <row r="30" spans="1:3" ht="31.5">
      <c r="A30" s="132" t="s">
        <v>388</v>
      </c>
      <c r="B30" s="34" t="s">
        <v>92</v>
      </c>
      <c r="C30" s="171">
        <f>'Lập QH_Trực tiếp'!H167*1000</f>
        <v>283575000</v>
      </c>
    </row>
    <row r="31" spans="1:3" ht="31.5">
      <c r="A31" s="132" t="s">
        <v>389</v>
      </c>
      <c r="B31" s="34" t="s">
        <v>96</v>
      </c>
      <c r="C31" s="171">
        <f>'Lập QH_Trực tiếp'!H171*1000</f>
        <v>353722500</v>
      </c>
    </row>
    <row r="32" spans="1:3" ht="15.75">
      <c r="A32" s="132" t="s">
        <v>390</v>
      </c>
      <c r="B32" s="34" t="s">
        <v>180</v>
      </c>
      <c r="C32" s="171">
        <f>'Lập QH_Trực tiếp'!H176*1000</f>
        <v>299495000</v>
      </c>
    </row>
    <row r="33" spans="1:3" ht="15.75">
      <c r="A33" s="132" t="s">
        <v>391</v>
      </c>
      <c r="B33" s="34" t="s">
        <v>182</v>
      </c>
      <c r="C33" s="171">
        <f>'Lập QH_Trực tiếp'!H181*1000</f>
        <v>567150000</v>
      </c>
    </row>
    <row r="34" spans="1:3" ht="15.75">
      <c r="A34" s="132" t="s">
        <v>392</v>
      </c>
      <c r="B34" s="34" t="s">
        <v>189</v>
      </c>
      <c r="C34" s="171">
        <f>'Lập QH_Trực tiếp'!H188*1000</f>
        <v>3493445000</v>
      </c>
    </row>
    <row r="35" spans="1:3" ht="15.75">
      <c r="A35" s="132" t="s">
        <v>393</v>
      </c>
      <c r="B35" s="34" t="s">
        <v>111</v>
      </c>
      <c r="C35" s="171">
        <f>'Lập QH_Trực tiếp'!H205*1000</f>
        <v>1343250000</v>
      </c>
    </row>
    <row r="36" spans="1:3" ht="31.5">
      <c r="A36" s="132" t="s">
        <v>394</v>
      </c>
      <c r="B36" s="34" t="s">
        <v>114</v>
      </c>
      <c r="C36" s="171">
        <f>'Lập QH_Trực tiếp'!H208*1000</f>
        <v>417900000</v>
      </c>
    </row>
    <row r="37" spans="1:3" ht="15.75">
      <c r="A37" s="132" t="s">
        <v>395</v>
      </c>
      <c r="B37" s="34" t="s">
        <v>202</v>
      </c>
      <c r="C37" s="171">
        <f>'Lập QH_Trực tiếp'!H212*1000</f>
        <v>696500000</v>
      </c>
    </row>
    <row r="38" spans="1:4" ht="15.75">
      <c r="A38" s="134" t="s">
        <v>238</v>
      </c>
      <c r="B38" s="29" t="s">
        <v>366</v>
      </c>
      <c r="C38" s="170">
        <f>C39+C40+C43+C44+C45</f>
        <v>7837369377.5</v>
      </c>
      <c r="D38" s="159">
        <v>7913</v>
      </c>
    </row>
    <row r="39" spans="1:3" ht="15.75">
      <c r="A39" s="132" t="s">
        <v>274</v>
      </c>
      <c r="B39" s="34" t="s">
        <v>367</v>
      </c>
      <c r="C39" s="172">
        <f>'Lựa chọn nhà thầu'!D18</f>
        <v>180466177.5</v>
      </c>
    </row>
    <row r="40" spans="1:3" ht="15.75">
      <c r="A40" s="132" t="s">
        <v>276</v>
      </c>
      <c r="B40" s="34" t="s">
        <v>429</v>
      </c>
      <c r="C40" s="172">
        <f>SUM(C41:C42)</f>
        <v>5869130000</v>
      </c>
    </row>
    <row r="41" spans="1:3" ht="31.5">
      <c r="A41" s="173" t="s">
        <v>540</v>
      </c>
      <c r="B41" s="98" t="s">
        <v>341</v>
      </c>
      <c r="C41" s="174">
        <f>'Chi phí Hội thảo'!G5</f>
        <v>1499040000</v>
      </c>
    </row>
    <row r="42" spans="1:3" ht="31.5">
      <c r="A42" s="173" t="s">
        <v>541</v>
      </c>
      <c r="B42" s="98" t="s">
        <v>475</v>
      </c>
      <c r="C42" s="174">
        <f>'HT xin ý kiến Đề xuất'!H4</f>
        <v>4370090000</v>
      </c>
    </row>
    <row r="43" spans="1:3" ht="15.75">
      <c r="A43" s="132" t="s">
        <v>278</v>
      </c>
      <c r="B43" s="34" t="s">
        <v>368</v>
      </c>
      <c r="C43" s="172">
        <f>'Chi phí thẩm định Qh'!E5</f>
        <v>390000000</v>
      </c>
    </row>
    <row r="44" spans="1:3" ht="15.75">
      <c r="A44" s="132" t="s">
        <v>280</v>
      </c>
      <c r="B44" s="34" t="s">
        <v>369</v>
      </c>
      <c r="C44" s="172">
        <f>'Chi phí công bố QH'!F4</f>
        <v>287380000</v>
      </c>
    </row>
    <row r="45" spans="1:3" ht="15.75">
      <c r="A45" s="132" t="s">
        <v>281</v>
      </c>
      <c r="B45" s="87" t="s">
        <v>399</v>
      </c>
      <c r="C45" s="172">
        <f>'Chi phí Khác'!I24</f>
        <v>1110393200</v>
      </c>
    </row>
    <row r="46" spans="1:4" s="158" customFormat="1" ht="15.75">
      <c r="A46" s="134" t="s">
        <v>370</v>
      </c>
      <c r="B46" s="30" t="s">
        <v>371</v>
      </c>
      <c r="C46" s="170">
        <f>'Đánh giá môi trường'!F9</f>
        <v>598228915.6626506</v>
      </c>
      <c r="D46" s="158">
        <v>598</v>
      </c>
    </row>
    <row r="47" spans="1:4" s="158" customFormat="1" ht="15.75">
      <c r="A47" s="134" t="s">
        <v>372</v>
      </c>
      <c r="B47" s="30" t="s">
        <v>373</v>
      </c>
      <c r="C47" s="170">
        <f>'Lập QH_Trực tiếp'!H216*1000</f>
        <v>35565337500</v>
      </c>
      <c r="D47" s="158">
        <v>32955</v>
      </c>
    </row>
    <row r="48" spans="1:4" ht="15.75">
      <c r="A48" s="134" t="s">
        <v>396</v>
      </c>
      <c r="B48" s="30" t="s">
        <v>397</v>
      </c>
      <c r="C48" s="170">
        <f>'chi phí dự phòng'!C16</f>
        <v>3136093039.6581326</v>
      </c>
      <c r="D48" s="159">
        <v>6019</v>
      </c>
    </row>
    <row r="49" spans="1:3" ht="31.5">
      <c r="A49" s="134" t="s">
        <v>536</v>
      </c>
      <c r="B49" s="30" t="s">
        <v>610</v>
      </c>
      <c r="C49" s="170">
        <f>C47+C46+C38+C18+C48</f>
        <v>65857953832.820786</v>
      </c>
    </row>
    <row r="50" spans="1:4" ht="15.75">
      <c r="A50" s="134" t="s">
        <v>537</v>
      </c>
      <c r="B50" s="30" t="s">
        <v>543</v>
      </c>
      <c r="C50" s="170">
        <f>0.1*(C18+C46+C47)</f>
        <v>5488449141.566265</v>
      </c>
      <c r="D50" s="159">
        <v>5228</v>
      </c>
    </row>
    <row r="51" spans="1:3" ht="15.75">
      <c r="A51" s="134" t="s">
        <v>132</v>
      </c>
      <c r="B51" s="30" t="s">
        <v>544</v>
      </c>
      <c r="C51" s="170">
        <f>C5+C17</f>
        <v>71969952974.38705</v>
      </c>
    </row>
    <row r="52" spans="1:3" ht="16.5" thickBot="1">
      <c r="A52" s="348" t="s">
        <v>398</v>
      </c>
      <c r="B52" s="349"/>
      <c r="C52" s="175">
        <f>ROUND(C51,-6)</f>
        <v>71970000000</v>
      </c>
    </row>
  </sheetData>
  <sheetProtection/>
  <mergeCells count="2">
    <mergeCell ref="A52:B52"/>
    <mergeCell ref="A2:C3"/>
  </mergeCells>
  <printOptions/>
  <pageMargins left="0.7" right="0.42" top="0.56" bottom="0.64"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E9" sqref="E9"/>
    </sheetView>
  </sheetViews>
  <sheetFormatPr defaultColWidth="9.140625" defaultRowHeight="15"/>
  <cols>
    <col min="1" max="1" width="7.7109375" style="27" customWidth="1"/>
    <col min="2" max="2" width="39.28125" style="27" customWidth="1"/>
    <col min="3" max="3" width="14.28125" style="27" customWidth="1"/>
    <col min="4" max="4" width="10.421875" style="27" customWidth="1"/>
    <col min="5" max="5" width="13.140625" style="27" customWidth="1"/>
    <col min="6" max="6" width="14.8515625" style="27" customWidth="1"/>
    <col min="7" max="16384" width="9.140625" style="27" customWidth="1"/>
  </cols>
  <sheetData>
    <row r="1" spans="1:6" ht="30" customHeight="1">
      <c r="A1" s="380" t="s">
        <v>338</v>
      </c>
      <c r="B1" s="380"/>
      <c r="C1" s="380"/>
      <c r="D1" s="380"/>
      <c r="E1" s="380"/>
      <c r="F1" s="380"/>
    </row>
    <row r="2" spans="1:6" ht="20.25" customHeight="1">
      <c r="A2" s="382" t="s">
        <v>273</v>
      </c>
      <c r="B2" s="382" t="s">
        <v>320</v>
      </c>
      <c r="C2" s="382" t="s">
        <v>333</v>
      </c>
      <c r="D2" s="382" t="s">
        <v>323</v>
      </c>
      <c r="E2" s="386" t="s">
        <v>299</v>
      </c>
      <c r="F2" s="386" t="s">
        <v>288</v>
      </c>
    </row>
    <row r="3" spans="1:6" ht="15.75">
      <c r="A3" s="382"/>
      <c r="B3" s="382"/>
      <c r="C3" s="382"/>
      <c r="D3" s="382"/>
      <c r="E3" s="387"/>
      <c r="F3" s="387"/>
    </row>
    <row r="4" spans="1:6" ht="30.75" customHeight="1">
      <c r="A4" s="28"/>
      <c r="B4" s="28" t="s">
        <v>321</v>
      </c>
      <c r="C4" s="28"/>
      <c r="D4" s="28"/>
      <c r="E4" s="63"/>
      <c r="F4" s="66">
        <f>SUM(F5:F10)</f>
        <v>287380000</v>
      </c>
    </row>
    <row r="5" spans="1:6" ht="27.75" customHeight="1">
      <c r="A5" s="1">
        <v>1</v>
      </c>
      <c r="B5" s="34" t="s">
        <v>214</v>
      </c>
      <c r="C5" s="1">
        <v>2</v>
      </c>
      <c r="D5" s="1">
        <v>1</v>
      </c>
      <c r="E5" s="65">
        <v>2000000</v>
      </c>
      <c r="F5" s="65">
        <f aca="true" t="shared" si="0" ref="F5:F10">E5*D5*C5</f>
        <v>4000000</v>
      </c>
    </row>
    <row r="6" spans="1:6" ht="27.75" customHeight="1">
      <c r="A6" s="1">
        <v>2</v>
      </c>
      <c r="B6" s="34" t="s">
        <v>215</v>
      </c>
      <c r="C6" s="1">
        <v>2</v>
      </c>
      <c r="D6" s="1">
        <v>1</v>
      </c>
      <c r="E6" s="65">
        <v>500000</v>
      </c>
      <c r="F6" s="65">
        <f t="shared" si="0"/>
        <v>1000000</v>
      </c>
    </row>
    <row r="7" spans="1:6" ht="45" customHeight="1">
      <c r="A7" s="1">
        <v>3</v>
      </c>
      <c r="B7" s="34" t="s">
        <v>334</v>
      </c>
      <c r="C7" s="1">
        <v>5</v>
      </c>
      <c r="D7" s="1">
        <v>1</v>
      </c>
      <c r="E7" s="65">
        <v>2000000</v>
      </c>
      <c r="F7" s="65">
        <f t="shared" si="0"/>
        <v>10000000</v>
      </c>
    </row>
    <row r="8" spans="1:6" ht="28.5" customHeight="1">
      <c r="A8" s="1">
        <v>4</v>
      </c>
      <c r="B8" s="34" t="s">
        <v>335</v>
      </c>
      <c r="C8" s="1">
        <v>500</v>
      </c>
      <c r="D8" s="1">
        <v>1</v>
      </c>
      <c r="E8" s="65">
        <v>200000</v>
      </c>
      <c r="F8" s="65">
        <f t="shared" si="0"/>
        <v>100000000</v>
      </c>
    </row>
    <row r="9" spans="1:6" ht="28.5" customHeight="1">
      <c r="A9" s="1">
        <v>5</v>
      </c>
      <c r="B9" s="34" t="s">
        <v>336</v>
      </c>
      <c r="C9" s="1">
        <v>507</v>
      </c>
      <c r="D9" s="1">
        <v>1</v>
      </c>
      <c r="E9" s="65">
        <v>300000</v>
      </c>
      <c r="F9" s="65">
        <f t="shared" si="0"/>
        <v>152100000</v>
      </c>
    </row>
    <row r="10" spans="1:6" ht="28.5" customHeight="1">
      <c r="A10" s="1">
        <v>6</v>
      </c>
      <c r="B10" s="34" t="s">
        <v>337</v>
      </c>
      <c r="C10" s="1">
        <v>507</v>
      </c>
      <c r="D10" s="1">
        <v>1</v>
      </c>
      <c r="E10" s="65">
        <v>40000</v>
      </c>
      <c r="F10" s="65">
        <f t="shared" si="0"/>
        <v>20280000</v>
      </c>
    </row>
  </sheetData>
  <sheetProtection/>
  <mergeCells count="7">
    <mergeCell ref="F2:F3"/>
    <mergeCell ref="A1:F1"/>
    <mergeCell ref="A2:A3"/>
    <mergeCell ref="B2:B3"/>
    <mergeCell ref="C2:C3"/>
    <mergeCell ref="D2:D3"/>
    <mergeCell ref="E2:E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4:F19"/>
  <sheetViews>
    <sheetView zoomScalePageLayoutView="0" workbookViewId="0" topLeftCell="A1">
      <selection activeCell="E9" sqref="E9"/>
    </sheetView>
  </sheetViews>
  <sheetFormatPr defaultColWidth="9.140625" defaultRowHeight="15"/>
  <cols>
    <col min="1" max="1" width="6.8515625" style="31" customWidth="1"/>
    <col min="2" max="2" width="40.140625" style="31" customWidth="1"/>
    <col min="3" max="3" width="13.28125" style="31" customWidth="1"/>
    <col min="4" max="4" width="20.140625" style="31" customWidth="1"/>
    <col min="5" max="5" width="17.140625" style="31" customWidth="1"/>
    <col min="6" max="6" width="15.7109375" style="31" bestFit="1" customWidth="1"/>
    <col min="7" max="16384" width="9.140625" style="31" customWidth="1"/>
  </cols>
  <sheetData>
    <row r="1" ht="18" customHeight="1"/>
    <row r="2" ht="20.25" customHeight="1"/>
    <row r="4" spans="1:4" ht="27.75" customHeight="1">
      <c r="A4" s="28" t="s">
        <v>273</v>
      </c>
      <c r="B4" s="382" t="s">
        <v>320</v>
      </c>
      <c r="C4" s="382"/>
      <c r="D4" s="40" t="s">
        <v>288</v>
      </c>
    </row>
    <row r="5" spans="1:4" ht="39" customHeight="1">
      <c r="A5" s="1">
        <v>1</v>
      </c>
      <c r="B5" s="388" t="s">
        <v>340</v>
      </c>
      <c r="C5" s="388"/>
      <c r="D5" s="75">
        <f>'Lập QH_Trực tiếp'!H61*1000</f>
        <v>18720925000</v>
      </c>
    </row>
    <row r="6" spans="1:4" ht="39" customHeight="1">
      <c r="A6" s="97"/>
      <c r="B6" s="388" t="s">
        <v>480</v>
      </c>
      <c r="C6" s="388"/>
      <c r="D6" s="75">
        <f>'HT xin ý kiến Đề xuất'!H4</f>
        <v>4370090000</v>
      </c>
    </row>
    <row r="7" spans="1:4" ht="39" customHeight="1">
      <c r="A7" s="1">
        <v>2</v>
      </c>
      <c r="B7" s="388" t="s">
        <v>341</v>
      </c>
      <c r="C7" s="388"/>
      <c r="D7" s="76">
        <f>'Chi phí Hội thảo'!G5</f>
        <v>1499040000</v>
      </c>
    </row>
    <row r="8" spans="1:5" ht="39" customHeight="1">
      <c r="A8" s="1">
        <v>3</v>
      </c>
      <c r="B8" s="388" t="s">
        <v>342</v>
      </c>
      <c r="C8" s="388"/>
      <c r="D8" s="75">
        <f>'Lập QH_Trực tiếp'!H216*1000</f>
        <v>35565337500</v>
      </c>
      <c r="E8" s="214" t="s">
        <v>564</v>
      </c>
    </row>
    <row r="9" spans="1:5" ht="30" customHeight="1">
      <c r="A9" s="389" t="s">
        <v>351</v>
      </c>
      <c r="B9" s="390"/>
      <c r="C9" s="391"/>
      <c r="D9" s="77">
        <f>SUM(D5:D8)</f>
        <v>60155392500</v>
      </c>
      <c r="E9" s="215">
        <f>D5+D7</f>
        <v>20219965000</v>
      </c>
    </row>
    <row r="10" ht="32.25" customHeight="1"/>
    <row r="11" spans="1:4" ht="38.25" customHeight="1">
      <c r="A11" s="380" t="s">
        <v>350</v>
      </c>
      <c r="B11" s="380"/>
      <c r="C11" s="380"/>
      <c r="D11" s="380"/>
    </row>
    <row r="12" spans="1:4" ht="15.75">
      <c r="A12" s="382" t="s">
        <v>273</v>
      </c>
      <c r="B12" s="382" t="s">
        <v>320</v>
      </c>
      <c r="C12" s="28" t="s">
        <v>343</v>
      </c>
      <c r="D12" s="382" t="s">
        <v>288</v>
      </c>
    </row>
    <row r="13" spans="1:4" ht="15.75">
      <c r="A13" s="382"/>
      <c r="B13" s="382"/>
      <c r="C13" s="63" t="s">
        <v>344</v>
      </c>
      <c r="D13" s="382"/>
    </row>
    <row r="14" spans="1:5" ht="33" customHeight="1">
      <c r="A14" s="1">
        <v>1</v>
      </c>
      <c r="B14" s="34" t="s">
        <v>345</v>
      </c>
      <c r="C14" s="1">
        <v>0.1</v>
      </c>
      <c r="D14" s="39">
        <f>$C$14%*D9</f>
        <v>60155392.5</v>
      </c>
      <c r="E14" s="216">
        <f>$C$14%*E9</f>
        <v>20219965</v>
      </c>
    </row>
    <row r="15" spans="1:5" ht="33" customHeight="1">
      <c r="A15" s="1">
        <v>2</v>
      </c>
      <c r="B15" s="34" t="s">
        <v>346</v>
      </c>
      <c r="C15" s="1">
        <v>0.05</v>
      </c>
      <c r="D15" s="39">
        <f>$C$15%*D9</f>
        <v>30077696.25</v>
      </c>
      <c r="E15" s="216">
        <f>$C$15%*E9</f>
        <v>10109982.5</v>
      </c>
    </row>
    <row r="16" spans="1:5" ht="33" customHeight="1">
      <c r="A16" s="1">
        <v>3</v>
      </c>
      <c r="B16" s="34" t="s">
        <v>347</v>
      </c>
      <c r="C16" s="1">
        <v>0.1</v>
      </c>
      <c r="D16" s="39">
        <f>$C$16%*D9</f>
        <v>60155392.5</v>
      </c>
      <c r="E16" s="216">
        <f>$C$16%*E9</f>
        <v>20219965</v>
      </c>
    </row>
    <row r="17" spans="1:6" ht="33" customHeight="1">
      <c r="A17" s="1">
        <v>4</v>
      </c>
      <c r="B17" s="34" t="s">
        <v>348</v>
      </c>
      <c r="C17" s="1">
        <v>0.05</v>
      </c>
      <c r="D17" s="39">
        <f>$C$17%*D9</f>
        <v>30077696.25</v>
      </c>
      <c r="E17" s="216">
        <f>$C$17%*E9</f>
        <v>10109982.5</v>
      </c>
      <c r="F17" s="207"/>
    </row>
    <row r="18" spans="1:6" ht="36" customHeight="1">
      <c r="A18" s="382" t="s">
        <v>349</v>
      </c>
      <c r="B18" s="382"/>
      <c r="C18" s="28"/>
      <c r="D18" s="55">
        <f>SUM(D14:D17)</f>
        <v>180466177.5</v>
      </c>
      <c r="E18" s="217">
        <f>SUM(E14:E17)</f>
        <v>60659895</v>
      </c>
      <c r="F18" s="207"/>
    </row>
    <row r="19" ht="15.75">
      <c r="D19" s="207"/>
    </row>
  </sheetData>
  <sheetProtection/>
  <mergeCells count="11">
    <mergeCell ref="A12:A13"/>
    <mergeCell ref="B12:B13"/>
    <mergeCell ref="A18:B18"/>
    <mergeCell ref="D12:D13"/>
    <mergeCell ref="A11:D11"/>
    <mergeCell ref="B4:C4"/>
    <mergeCell ref="B5:C5"/>
    <mergeCell ref="B7:C7"/>
    <mergeCell ref="B8:C8"/>
    <mergeCell ref="A9:C9"/>
    <mergeCell ref="B6:C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F9"/>
  <sheetViews>
    <sheetView zoomScalePageLayoutView="0" workbookViewId="0" topLeftCell="A1">
      <selection activeCell="H12" sqref="H12"/>
    </sheetView>
  </sheetViews>
  <sheetFormatPr defaultColWidth="9.140625" defaultRowHeight="15"/>
  <cols>
    <col min="1" max="1" width="9.28125" style="31" customWidth="1"/>
    <col min="2" max="4" width="9.140625" style="31" customWidth="1"/>
    <col min="5" max="5" width="22.00390625" style="31" customWidth="1"/>
    <col min="6" max="6" width="17.57421875" style="38" customWidth="1"/>
    <col min="7" max="16384" width="9.140625" style="31" customWidth="1"/>
  </cols>
  <sheetData>
    <row r="2" spans="1:6" ht="29.25" customHeight="1">
      <c r="A2" s="350" t="s">
        <v>358</v>
      </c>
      <c r="B2" s="350"/>
      <c r="C2" s="350"/>
      <c r="D2" s="350"/>
      <c r="E2" s="350"/>
      <c r="F2" s="350"/>
    </row>
    <row r="3" spans="2:6" ht="21" customHeight="1">
      <c r="B3" s="394" t="s">
        <v>356</v>
      </c>
      <c r="C3" s="394"/>
      <c r="D3" s="394"/>
      <c r="E3" s="394"/>
      <c r="F3" s="78">
        <f>F4*F5*F6*F7</f>
        <v>405000000</v>
      </c>
    </row>
    <row r="4" spans="2:6" ht="15.75">
      <c r="B4" s="395" t="s">
        <v>352</v>
      </c>
      <c r="C4" s="395"/>
      <c r="D4" s="395"/>
      <c r="E4" s="395"/>
      <c r="F4" s="37">
        <v>250000000</v>
      </c>
    </row>
    <row r="5" spans="2:6" ht="15.75">
      <c r="B5" s="395" t="s">
        <v>353</v>
      </c>
      <c r="C5" s="395"/>
      <c r="D5" s="395"/>
      <c r="E5" s="395"/>
      <c r="F5" s="107">
        <v>1.08</v>
      </c>
    </row>
    <row r="6" spans="2:6" ht="15.75">
      <c r="B6" s="395" t="s">
        <v>354</v>
      </c>
      <c r="C6" s="395"/>
      <c r="D6" s="395"/>
      <c r="E6" s="395"/>
      <c r="F6" s="36">
        <v>1</v>
      </c>
    </row>
    <row r="7" spans="2:6" ht="16.5" customHeight="1">
      <c r="B7" s="395" t="s">
        <v>355</v>
      </c>
      <c r="C7" s="395"/>
      <c r="D7" s="395"/>
      <c r="E7" s="395"/>
      <c r="F7" s="36">
        <v>1.5</v>
      </c>
    </row>
    <row r="8" spans="2:6" ht="42" customHeight="1">
      <c r="B8" s="393" t="s">
        <v>359</v>
      </c>
      <c r="C8" s="393"/>
      <c r="D8" s="393"/>
      <c r="E8" s="393"/>
      <c r="F8" s="393"/>
    </row>
    <row r="9" spans="2:6" ht="48.75" customHeight="1">
      <c r="B9" s="392" t="s">
        <v>357</v>
      </c>
      <c r="C9" s="392"/>
      <c r="D9" s="392"/>
      <c r="E9" s="392"/>
      <c r="F9" s="79">
        <f>F3*(0.4+0.6*1490000/830000)</f>
        <v>598228915.6626506</v>
      </c>
    </row>
  </sheetData>
  <sheetProtection/>
  <mergeCells count="8">
    <mergeCell ref="B9:E9"/>
    <mergeCell ref="A2:F2"/>
    <mergeCell ref="B8:F8"/>
    <mergeCell ref="B3:E3"/>
    <mergeCell ref="B4:E4"/>
    <mergeCell ref="B5:E5"/>
    <mergeCell ref="B6:E6"/>
    <mergeCell ref="B7:E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30"/>
  <sheetViews>
    <sheetView zoomScalePageLayoutView="0" workbookViewId="0" topLeftCell="A1">
      <selection activeCell="G6" sqref="G6"/>
    </sheetView>
  </sheetViews>
  <sheetFormatPr defaultColWidth="9.140625" defaultRowHeight="15"/>
  <cols>
    <col min="1" max="1" width="6.7109375" style="0" customWidth="1"/>
    <col min="2" max="2" width="36.140625" style="0" customWidth="1"/>
    <col min="3" max="3" width="12.57421875" style="0" customWidth="1"/>
    <col min="4" max="4" width="11.140625" style="0" customWidth="1"/>
    <col min="5" max="5" width="15.7109375" style="0" customWidth="1"/>
    <col min="7" max="7" width="11.8515625" style="0" customWidth="1"/>
    <col min="8" max="8" width="16.421875" style="0" customWidth="1"/>
    <col min="9" max="9" width="16.57421875" style="0" customWidth="1"/>
  </cols>
  <sheetData>
    <row r="1" spans="1:5" ht="15">
      <c r="A1" s="351" t="s">
        <v>364</v>
      </c>
      <c r="B1" s="351"/>
      <c r="C1" s="351"/>
      <c r="D1" s="351"/>
      <c r="E1" s="351"/>
    </row>
    <row r="2" spans="1:5" ht="15">
      <c r="A2" s="351"/>
      <c r="B2" s="351"/>
      <c r="C2" s="351"/>
      <c r="D2" s="351"/>
      <c r="E2" s="351"/>
    </row>
    <row r="3" spans="1:5" ht="15.75">
      <c r="A3" s="93"/>
      <c r="B3" s="93"/>
      <c r="C3" s="93"/>
      <c r="D3" s="93"/>
      <c r="E3" s="93"/>
    </row>
    <row r="4" spans="1:9" ht="15.75">
      <c r="A4" s="398" t="s">
        <v>401</v>
      </c>
      <c r="B4" s="398" t="s">
        <v>402</v>
      </c>
      <c r="C4" s="398" t="s">
        <v>403</v>
      </c>
      <c r="D4" s="108"/>
      <c r="E4" s="398" t="s">
        <v>404</v>
      </c>
      <c r="F4" s="398"/>
      <c r="G4" s="399" t="s">
        <v>288</v>
      </c>
      <c r="H4" s="399"/>
      <c r="I4" s="396" t="s">
        <v>405</v>
      </c>
    </row>
    <row r="5" spans="1:9" ht="31.5">
      <c r="A5" s="398"/>
      <c r="B5" s="398"/>
      <c r="C5" s="398"/>
      <c r="D5" s="108" t="s">
        <v>406</v>
      </c>
      <c r="E5" s="110" t="s">
        <v>407</v>
      </c>
      <c r="F5" s="108" t="s">
        <v>408</v>
      </c>
      <c r="G5" s="109" t="s">
        <v>409</v>
      </c>
      <c r="H5" s="111" t="s">
        <v>410</v>
      </c>
      <c r="I5" s="397"/>
    </row>
    <row r="6" spans="1:9" ht="15.75">
      <c r="A6" s="112">
        <v>1</v>
      </c>
      <c r="B6" s="113" t="s">
        <v>412</v>
      </c>
      <c r="C6" s="112" t="s">
        <v>413</v>
      </c>
      <c r="D6" s="112">
        <v>4.4</v>
      </c>
      <c r="E6" s="112">
        <v>0.7</v>
      </c>
      <c r="F6" s="114">
        <f aca="true" t="shared" si="0" ref="F6:F13">D6+E6</f>
        <v>5.1000000000000005</v>
      </c>
      <c r="G6" s="115">
        <f>F6*1490000</f>
        <v>7599000.000000001</v>
      </c>
      <c r="H6" s="115">
        <f>G6*50%</f>
        <v>3799500.0000000005</v>
      </c>
      <c r="I6" s="116">
        <f>H6*24</f>
        <v>91188000.00000001</v>
      </c>
    </row>
    <row r="7" spans="1:9" ht="15.75">
      <c r="A7" s="112">
        <v>2</v>
      </c>
      <c r="B7" s="113" t="s">
        <v>414</v>
      </c>
      <c r="C7" s="112"/>
      <c r="D7" s="112"/>
      <c r="E7" s="112"/>
      <c r="F7" s="114">
        <f t="shared" si="0"/>
        <v>0</v>
      </c>
      <c r="G7" s="115">
        <f aca="true" t="shared" si="1" ref="G7:G13">F7*1490000</f>
        <v>0</v>
      </c>
      <c r="H7" s="115">
        <f aca="true" t="shared" si="2" ref="H7:H13">G7*50%</f>
        <v>0</v>
      </c>
      <c r="I7" s="116"/>
    </row>
    <row r="8" spans="1:9" ht="15.75">
      <c r="A8" s="112"/>
      <c r="B8" s="113" t="s">
        <v>417</v>
      </c>
      <c r="C8" s="112" t="s">
        <v>415</v>
      </c>
      <c r="D8" s="112">
        <v>4.4</v>
      </c>
      <c r="E8" s="112">
        <v>0.5</v>
      </c>
      <c r="F8" s="114">
        <f t="shared" si="0"/>
        <v>4.9</v>
      </c>
      <c r="G8" s="115">
        <f t="shared" si="1"/>
        <v>7301000.000000001</v>
      </c>
      <c r="H8" s="115">
        <f t="shared" si="2"/>
        <v>3650500.0000000005</v>
      </c>
      <c r="I8" s="116">
        <f>H8*3*24</f>
        <v>262836000.00000006</v>
      </c>
    </row>
    <row r="9" spans="1:9" ht="15.75">
      <c r="A9" s="112"/>
      <c r="B9" s="113"/>
      <c r="C9" s="112" t="s">
        <v>416</v>
      </c>
      <c r="D9" s="112">
        <v>3.66</v>
      </c>
      <c r="E9" s="112">
        <v>0.5</v>
      </c>
      <c r="F9" s="114">
        <f t="shared" si="0"/>
        <v>4.16</v>
      </c>
      <c r="G9" s="115">
        <f t="shared" si="1"/>
        <v>6198400</v>
      </c>
      <c r="H9" s="115">
        <f t="shared" si="2"/>
        <v>3099200</v>
      </c>
      <c r="I9" s="116">
        <f>H9*4*24</f>
        <v>297523200</v>
      </c>
    </row>
    <row r="10" spans="1:9" ht="15.75">
      <c r="A10" s="112">
        <v>3</v>
      </c>
      <c r="B10" s="113" t="s">
        <v>418</v>
      </c>
      <c r="C10" s="112"/>
      <c r="D10" s="112"/>
      <c r="E10" s="112"/>
      <c r="F10" s="114">
        <f t="shared" si="0"/>
        <v>0</v>
      </c>
      <c r="G10" s="115">
        <f t="shared" si="1"/>
        <v>0</v>
      </c>
      <c r="H10" s="115">
        <f t="shared" si="2"/>
        <v>0</v>
      </c>
      <c r="I10" s="116"/>
    </row>
    <row r="11" spans="1:9" ht="15.75">
      <c r="A11" s="112"/>
      <c r="B11" s="113"/>
      <c r="C11" s="112" t="s">
        <v>419</v>
      </c>
      <c r="D11" s="112">
        <v>4.4</v>
      </c>
      <c r="E11" s="112">
        <v>0.3</v>
      </c>
      <c r="F11" s="114">
        <f t="shared" si="0"/>
        <v>4.7</v>
      </c>
      <c r="G11" s="115">
        <f t="shared" si="1"/>
        <v>7003000</v>
      </c>
      <c r="H11" s="115">
        <f t="shared" si="2"/>
        <v>3501500</v>
      </c>
      <c r="I11" s="116">
        <f>H11*1*24</f>
        <v>84036000</v>
      </c>
    </row>
    <row r="12" spans="1:9" ht="15.75">
      <c r="A12" s="112"/>
      <c r="B12" s="113"/>
      <c r="C12" s="112" t="s">
        <v>420</v>
      </c>
      <c r="D12" s="112">
        <v>3.33</v>
      </c>
      <c r="E12" s="112">
        <v>0.3</v>
      </c>
      <c r="F12" s="114">
        <f t="shared" si="0"/>
        <v>3.63</v>
      </c>
      <c r="G12" s="115">
        <f t="shared" si="1"/>
        <v>5408700</v>
      </c>
      <c r="H12" s="115">
        <f t="shared" si="2"/>
        <v>2704350</v>
      </c>
      <c r="I12" s="116">
        <f>H12*2*24</f>
        <v>129808800</v>
      </c>
    </row>
    <row r="13" spans="1:9" ht="15.75">
      <c r="A13" s="112">
        <v>4</v>
      </c>
      <c r="B13" s="113" t="s">
        <v>421</v>
      </c>
      <c r="C13" s="112" t="s">
        <v>422</v>
      </c>
      <c r="D13" s="112">
        <v>3.33</v>
      </c>
      <c r="E13" s="112"/>
      <c r="F13" s="114">
        <f t="shared" si="0"/>
        <v>3.33</v>
      </c>
      <c r="G13" s="115">
        <f t="shared" si="1"/>
        <v>4961700</v>
      </c>
      <c r="H13" s="115">
        <f t="shared" si="2"/>
        <v>2480850</v>
      </c>
      <c r="I13" s="116">
        <f>H13*3*24</f>
        <v>178621200</v>
      </c>
    </row>
    <row r="14" spans="1:9" ht="15.75">
      <c r="A14" s="112"/>
      <c r="B14" s="113"/>
      <c r="C14" s="112"/>
      <c r="D14" s="112"/>
      <c r="E14" s="112"/>
      <c r="F14" s="114"/>
      <c r="G14" s="115"/>
      <c r="H14" s="115"/>
      <c r="I14" s="116"/>
    </row>
    <row r="15" spans="1:9" ht="15.75">
      <c r="A15" s="112"/>
      <c r="B15" s="113"/>
      <c r="C15" s="112"/>
      <c r="D15" s="112"/>
      <c r="E15" s="112"/>
      <c r="F15" s="114"/>
      <c r="G15" s="115"/>
      <c r="H15" s="115"/>
      <c r="I15" s="116"/>
    </row>
    <row r="16" spans="1:9" ht="15.75">
      <c r="A16" s="112"/>
      <c r="B16" s="113"/>
      <c r="C16" s="112"/>
      <c r="D16" s="112"/>
      <c r="E16" s="112"/>
      <c r="F16" s="114"/>
      <c r="G16" s="115"/>
      <c r="H16" s="115"/>
      <c r="I16" s="116"/>
    </row>
    <row r="17" spans="1:9" ht="15.75">
      <c r="A17" s="112"/>
      <c r="B17" s="113"/>
      <c r="C17" s="112"/>
      <c r="D17" s="112"/>
      <c r="E17" s="112"/>
      <c r="F17" s="114"/>
      <c r="G17" s="115"/>
      <c r="H17" s="115"/>
      <c r="I17" s="116"/>
    </row>
    <row r="18" spans="1:9" ht="15.75">
      <c r="A18" s="112"/>
      <c r="B18" s="113"/>
      <c r="C18" s="112"/>
      <c r="D18" s="112"/>
      <c r="E18" s="112"/>
      <c r="F18" s="114"/>
      <c r="G18" s="115"/>
      <c r="H18" s="115"/>
      <c r="I18" s="116"/>
    </row>
    <row r="19" spans="1:9" ht="31.5" customHeight="1">
      <c r="A19" s="112"/>
      <c r="B19" s="113"/>
      <c r="C19" s="112"/>
      <c r="D19" s="112"/>
      <c r="E19" s="112"/>
      <c r="F19" s="114"/>
      <c r="G19" s="115"/>
      <c r="H19" s="115"/>
      <c r="I19" s="116"/>
    </row>
    <row r="20" spans="1:9" ht="31.5" customHeight="1">
      <c r="A20" s="112"/>
      <c r="B20" s="113"/>
      <c r="C20" s="112"/>
      <c r="D20" s="112"/>
      <c r="E20" s="112"/>
      <c r="F20" s="114"/>
      <c r="G20" s="115"/>
      <c r="H20" s="115"/>
      <c r="I20" s="116"/>
    </row>
    <row r="21" spans="1:9" ht="28.5" customHeight="1">
      <c r="A21" s="117"/>
      <c r="B21" s="117" t="s">
        <v>408</v>
      </c>
      <c r="C21" s="118"/>
      <c r="D21" s="119">
        <f>SUM(D6:D20)</f>
        <v>23.519999999999996</v>
      </c>
      <c r="E21" s="119"/>
      <c r="F21" s="117">
        <f>SUM(F6:F19)</f>
        <v>25.82</v>
      </c>
      <c r="G21" s="117">
        <f>SUM(G6:G20)</f>
        <v>38471800</v>
      </c>
      <c r="H21" s="117">
        <f>SUM(H6:H20)</f>
        <v>19235900</v>
      </c>
      <c r="I21" s="120">
        <f>SUM(I6:I20)</f>
        <v>1044013200</v>
      </c>
    </row>
    <row r="22" spans="1:5" ht="15.75">
      <c r="A22" s="91"/>
      <c r="B22" s="91"/>
      <c r="C22" s="91"/>
      <c r="D22" s="91"/>
      <c r="E22" s="91"/>
    </row>
    <row r="23" spans="1:5" ht="25.5" customHeight="1">
      <c r="A23" s="80" t="s">
        <v>273</v>
      </c>
      <c r="B23" s="81" t="s">
        <v>320</v>
      </c>
      <c r="C23" s="81" t="s">
        <v>298</v>
      </c>
      <c r="D23" s="81" t="s">
        <v>360</v>
      </c>
      <c r="E23" s="81" t="s">
        <v>288</v>
      </c>
    </row>
    <row r="24" spans="1:9" ht="31.5">
      <c r="A24" s="28"/>
      <c r="B24" s="30" t="s">
        <v>363</v>
      </c>
      <c r="C24" s="80"/>
      <c r="D24" s="80"/>
      <c r="E24" s="66">
        <f>SUM(E25:E30)</f>
        <v>66380000</v>
      </c>
      <c r="I24" s="94">
        <f>I21+E24</f>
        <v>1110393200</v>
      </c>
    </row>
    <row r="25" spans="1:5" ht="37.5" customHeight="1">
      <c r="A25" s="1">
        <v>1</v>
      </c>
      <c r="B25" s="34" t="s">
        <v>361</v>
      </c>
      <c r="C25" s="1">
        <v>15</v>
      </c>
      <c r="D25" s="64">
        <v>300000</v>
      </c>
      <c r="E25" s="65">
        <f aca="true" t="shared" si="3" ref="E25:E30">C25*D25</f>
        <v>4500000</v>
      </c>
    </row>
    <row r="26" spans="1:5" ht="31.5">
      <c r="A26" s="1">
        <v>2</v>
      </c>
      <c r="B26" s="34" t="s">
        <v>472</v>
      </c>
      <c r="C26" s="1">
        <v>50</v>
      </c>
      <c r="D26" s="64">
        <v>300000</v>
      </c>
      <c r="E26" s="65">
        <f t="shared" si="3"/>
        <v>15000000</v>
      </c>
    </row>
    <row r="27" spans="1:5" ht="29.25" customHeight="1">
      <c r="A27" s="1">
        <v>3</v>
      </c>
      <c r="B27" s="34" t="s">
        <v>473</v>
      </c>
      <c r="C27" s="1">
        <v>50</v>
      </c>
      <c r="D27" s="64">
        <v>300000</v>
      </c>
      <c r="E27" s="65">
        <f t="shared" si="3"/>
        <v>15000000</v>
      </c>
    </row>
    <row r="28" spans="1:5" ht="27" customHeight="1">
      <c r="A28" s="1">
        <v>4</v>
      </c>
      <c r="B28" s="34" t="s">
        <v>474</v>
      </c>
      <c r="C28" s="1">
        <v>70</v>
      </c>
      <c r="D28" s="64">
        <v>300000</v>
      </c>
      <c r="E28" s="65">
        <f t="shared" si="3"/>
        <v>21000000</v>
      </c>
    </row>
    <row r="29" spans="1:5" ht="23.25" customHeight="1">
      <c r="A29" s="1">
        <v>5</v>
      </c>
      <c r="B29" s="34" t="s">
        <v>362</v>
      </c>
      <c r="C29" s="1">
        <v>22</v>
      </c>
      <c r="D29" s="64">
        <v>320000</v>
      </c>
      <c r="E29" s="65">
        <f t="shared" si="3"/>
        <v>7040000</v>
      </c>
    </row>
    <row r="30" spans="1:5" ht="51" customHeight="1">
      <c r="A30" s="1">
        <v>6</v>
      </c>
      <c r="B30" s="34" t="s">
        <v>551</v>
      </c>
      <c r="C30" s="1">
        <v>12</v>
      </c>
      <c r="D30" s="64">
        <v>320000</v>
      </c>
      <c r="E30" s="65">
        <f t="shared" si="3"/>
        <v>3840000</v>
      </c>
    </row>
  </sheetData>
  <sheetProtection/>
  <mergeCells count="7">
    <mergeCell ref="I4:I5"/>
    <mergeCell ref="A1:E2"/>
    <mergeCell ref="A4:A5"/>
    <mergeCell ref="B4:B5"/>
    <mergeCell ref="C4:C5"/>
    <mergeCell ref="E4:F4"/>
    <mergeCell ref="G4:H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3:C16"/>
  <sheetViews>
    <sheetView zoomScalePageLayoutView="0" workbookViewId="0" topLeftCell="A1">
      <selection activeCell="C17" sqref="C17"/>
    </sheetView>
  </sheetViews>
  <sheetFormatPr defaultColWidth="9.140625" defaultRowHeight="15"/>
  <cols>
    <col min="1" max="1" width="6.57421875" style="54" customWidth="1"/>
    <col min="2" max="2" width="57.140625" style="54" customWidth="1"/>
    <col min="3" max="3" width="19.8515625" style="83" customWidth="1"/>
    <col min="4" max="16384" width="9.140625" style="54" customWidth="1"/>
  </cols>
  <sheetData>
    <row r="3" spans="1:3" ht="15.75">
      <c r="A3" s="82" t="s">
        <v>273</v>
      </c>
      <c r="B3" s="28" t="s">
        <v>320</v>
      </c>
      <c r="C3" s="84"/>
    </row>
    <row r="4" spans="1:3" ht="21" customHeight="1">
      <c r="A4" s="82" t="s">
        <v>237</v>
      </c>
      <c r="B4" s="82" t="s">
        <v>365</v>
      </c>
      <c r="C4" s="85">
        <f>'Lập QH_Trực tiếp'!H61*1000</f>
        <v>18720925000</v>
      </c>
    </row>
    <row r="5" spans="1:3" ht="16.5" customHeight="1">
      <c r="A5" s="82" t="s">
        <v>238</v>
      </c>
      <c r="B5" s="82" t="s">
        <v>366</v>
      </c>
      <c r="C5" s="85">
        <f>C6+C7+C10+C11+C12</f>
        <v>7837369377.5</v>
      </c>
    </row>
    <row r="6" spans="1:3" ht="15.75">
      <c r="A6" s="35" t="s">
        <v>274</v>
      </c>
      <c r="B6" s="35" t="s">
        <v>367</v>
      </c>
      <c r="C6" s="84">
        <f>'Lựa chọn nhà thầu'!D18</f>
        <v>180466177.5</v>
      </c>
    </row>
    <row r="7" spans="1:3" ht="15.75">
      <c r="A7" s="96" t="s">
        <v>276</v>
      </c>
      <c r="B7" s="96" t="s">
        <v>428</v>
      </c>
      <c r="C7" s="84">
        <f>C9+C8</f>
        <v>5869130000</v>
      </c>
    </row>
    <row r="8" spans="1:3" ht="31.5">
      <c r="A8" s="35" t="s">
        <v>426</v>
      </c>
      <c r="B8" s="35" t="s">
        <v>341</v>
      </c>
      <c r="C8" s="84">
        <f>'Chi phí Hội thảo'!G5</f>
        <v>1499040000</v>
      </c>
    </row>
    <row r="9" spans="1:3" ht="31.5">
      <c r="A9" s="96" t="s">
        <v>427</v>
      </c>
      <c r="B9" s="96" t="s">
        <v>425</v>
      </c>
      <c r="C9" s="84">
        <f>'HT xin ý kiến Đề xuất'!H4</f>
        <v>4370090000</v>
      </c>
    </row>
    <row r="10" spans="1:3" ht="15.75">
      <c r="A10" s="35" t="s">
        <v>278</v>
      </c>
      <c r="B10" s="35" t="s">
        <v>368</v>
      </c>
      <c r="C10" s="84">
        <f>'Chi phí thẩm định Qh'!E5</f>
        <v>390000000</v>
      </c>
    </row>
    <row r="11" spans="1:3" ht="15.75">
      <c r="A11" s="35" t="s">
        <v>280</v>
      </c>
      <c r="B11" s="35" t="s">
        <v>369</v>
      </c>
      <c r="C11" s="84">
        <f>'Chi phí công bố QH'!F4</f>
        <v>287380000</v>
      </c>
    </row>
    <row r="12" spans="1:3" ht="15.75">
      <c r="A12" s="35" t="s">
        <v>281</v>
      </c>
      <c r="B12" s="35" t="s">
        <v>411</v>
      </c>
      <c r="C12" s="95">
        <f>'Chi phí Khác'!I24</f>
        <v>1110393200</v>
      </c>
    </row>
    <row r="13" spans="1:3" ht="15.75">
      <c r="A13" s="82" t="s">
        <v>370</v>
      </c>
      <c r="B13" s="82" t="s">
        <v>371</v>
      </c>
      <c r="C13" s="85">
        <f>'Đánh giá môi trường'!F9</f>
        <v>598228915.6626506</v>
      </c>
    </row>
    <row r="14" spans="1:3" ht="15.75">
      <c r="A14" s="82" t="s">
        <v>372</v>
      </c>
      <c r="B14" s="82" t="s">
        <v>373</v>
      </c>
      <c r="C14" s="85">
        <f>'Lập QH_Trực tiếp'!H216*1000</f>
        <v>35565337500</v>
      </c>
    </row>
    <row r="15" spans="1:3" ht="30" customHeight="1">
      <c r="A15" s="400" t="s">
        <v>374</v>
      </c>
      <c r="B15" s="400"/>
      <c r="C15" s="85">
        <f>C4+C5+C13+C14</f>
        <v>62721860793.16265</v>
      </c>
    </row>
    <row r="16" spans="1:3" ht="37.5" customHeight="1">
      <c r="A16" s="400" t="s">
        <v>625</v>
      </c>
      <c r="B16" s="400"/>
      <c r="C16" s="86">
        <f>5%*C15</f>
        <v>3136093039.6581326</v>
      </c>
    </row>
  </sheetData>
  <sheetProtection/>
  <mergeCells count="2">
    <mergeCell ref="A15:B15"/>
    <mergeCell ref="A16:B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51"/>
  <sheetViews>
    <sheetView tabSelected="1" zoomScale="93" zoomScaleNormal="93" zoomScalePageLayoutView="0" workbookViewId="0" topLeftCell="A1">
      <pane xSplit="2" ySplit="3" topLeftCell="C41" activePane="bottomRight" state="frozen"/>
      <selection pane="topLeft" activeCell="A1" sqref="A1"/>
      <selection pane="topRight" activeCell="C1" sqref="C1"/>
      <selection pane="bottomLeft" activeCell="A5" sqref="A5"/>
      <selection pane="bottomRight" activeCell="A1" sqref="A1:IV16384"/>
    </sheetView>
  </sheetViews>
  <sheetFormatPr defaultColWidth="9.140625" defaultRowHeight="15"/>
  <cols>
    <col min="1" max="1" width="6.7109375" style="159" customWidth="1"/>
    <col min="2" max="2" width="50.421875" style="159" customWidth="1"/>
    <col min="3" max="3" width="21.00390625" style="160" customWidth="1"/>
    <col min="4" max="4" width="0" style="159" hidden="1" customWidth="1"/>
    <col min="5" max="5" width="17.421875" style="159" customWidth="1"/>
    <col min="6" max="6" width="19.00390625" style="159" customWidth="1"/>
    <col min="7" max="7" width="18.8515625" style="159" customWidth="1"/>
    <col min="8" max="16384" width="9.140625" style="159" customWidth="1"/>
  </cols>
  <sheetData>
    <row r="1" spans="1:7" ht="15.75" customHeight="1">
      <c r="A1" s="350" t="s">
        <v>542</v>
      </c>
      <c r="B1" s="350"/>
      <c r="C1" s="350"/>
      <c r="D1" s="350"/>
      <c r="E1" s="350"/>
      <c r="F1" s="350"/>
      <c r="G1" s="350"/>
    </row>
    <row r="2" spans="1:7" ht="40.5" customHeight="1" thickBot="1">
      <c r="A2" s="350"/>
      <c r="B2" s="350"/>
      <c r="C2" s="350"/>
      <c r="D2" s="350"/>
      <c r="E2" s="350"/>
      <c r="F2" s="350"/>
      <c r="G2" s="350"/>
    </row>
    <row r="3" spans="1:7" ht="15.75">
      <c r="A3" s="162" t="s">
        <v>273</v>
      </c>
      <c r="B3" s="163" t="s">
        <v>320</v>
      </c>
      <c r="C3" s="323" t="s">
        <v>612</v>
      </c>
      <c r="D3" s="324"/>
      <c r="E3" s="323" t="s">
        <v>606</v>
      </c>
      <c r="F3" s="323" t="s">
        <v>613</v>
      </c>
      <c r="G3" s="325" t="s">
        <v>622</v>
      </c>
    </row>
    <row r="4" spans="1:7" s="251" customFormat="1" ht="15.75">
      <c r="A4" s="326" t="s">
        <v>0</v>
      </c>
      <c r="B4" s="306" t="s">
        <v>375</v>
      </c>
      <c r="C4" s="307">
        <f>SUBTOTAL(9,C5:C13)</f>
        <v>585200000</v>
      </c>
      <c r="D4" s="308"/>
      <c r="E4" s="309">
        <f>E5</f>
        <v>38350000</v>
      </c>
      <c r="F4" s="309">
        <f>F5+F10</f>
        <v>623550000</v>
      </c>
      <c r="G4" s="356" t="s">
        <v>623</v>
      </c>
    </row>
    <row r="5" spans="1:7" ht="15.75">
      <c r="A5" s="165" t="s">
        <v>237</v>
      </c>
      <c r="B5" s="88" t="s">
        <v>534</v>
      </c>
      <c r="C5" s="310">
        <f>SUBTOTAL(9,C6:C9)</f>
        <v>383500000</v>
      </c>
      <c r="D5" s="305"/>
      <c r="E5" s="311">
        <f>C5*0.1</f>
        <v>38350000</v>
      </c>
      <c r="F5" s="311">
        <f>C5+E5</f>
        <v>421850000</v>
      </c>
      <c r="G5" s="356"/>
    </row>
    <row r="6" spans="1:7" ht="31.5" customHeight="1" hidden="1">
      <c r="A6" s="132">
        <v>1</v>
      </c>
      <c r="B6" s="336" t="s">
        <v>491</v>
      </c>
      <c r="C6" s="65">
        <v>45000000</v>
      </c>
      <c r="D6" s="305"/>
      <c r="E6" s="312">
        <f>C6*0.1</f>
        <v>4500000</v>
      </c>
      <c r="F6" s="312">
        <f>C6+E6</f>
        <v>49500000</v>
      </c>
      <c r="G6" s="356"/>
    </row>
    <row r="7" spans="1:7" ht="15.75" customHeight="1" hidden="1">
      <c r="A7" s="132">
        <v>2</v>
      </c>
      <c r="B7" s="336" t="s">
        <v>476</v>
      </c>
      <c r="C7" s="65">
        <v>288000000</v>
      </c>
      <c r="D7" s="305"/>
      <c r="E7" s="312">
        <f>C7*0.1</f>
        <v>28800000</v>
      </c>
      <c r="F7" s="312">
        <f>C7+E7</f>
        <v>316800000</v>
      </c>
      <c r="G7" s="356"/>
    </row>
    <row r="8" spans="1:7" ht="31.5" customHeight="1" hidden="1">
      <c r="A8" s="132">
        <v>3</v>
      </c>
      <c r="B8" s="336" t="s">
        <v>494</v>
      </c>
      <c r="C8" s="46">
        <v>22500000</v>
      </c>
      <c r="D8" s="305"/>
      <c r="E8" s="312">
        <f>C8*0.1</f>
        <v>2250000</v>
      </c>
      <c r="F8" s="312">
        <f>C8+E8</f>
        <v>24750000</v>
      </c>
      <c r="G8" s="356"/>
    </row>
    <row r="9" spans="1:7" ht="31.5" customHeight="1" hidden="1">
      <c r="A9" s="132">
        <v>4</v>
      </c>
      <c r="B9" s="336" t="s">
        <v>286</v>
      </c>
      <c r="C9" s="313">
        <v>28000000</v>
      </c>
      <c r="D9" s="305"/>
      <c r="E9" s="312">
        <f>C9*0.1</f>
        <v>2800000</v>
      </c>
      <c r="F9" s="312">
        <f>C9+E9</f>
        <v>30800000</v>
      </c>
      <c r="G9" s="356"/>
    </row>
    <row r="10" spans="1:7" ht="31.5">
      <c r="A10" s="134" t="s">
        <v>238</v>
      </c>
      <c r="B10" s="337" t="s">
        <v>497</v>
      </c>
      <c r="C10" s="310">
        <f>SUBTOTAL(9,C11:C13)</f>
        <v>201700000</v>
      </c>
      <c r="D10" s="305"/>
      <c r="E10" s="312"/>
      <c r="F10" s="311">
        <v>201700000</v>
      </c>
      <c r="G10" s="356"/>
    </row>
    <row r="11" spans="1:7" ht="15.75" hidden="1">
      <c r="A11" s="132">
        <v>1</v>
      </c>
      <c r="B11" s="336" t="s">
        <v>498</v>
      </c>
      <c r="C11" s="313">
        <f>'Nhiệm vụ QH'!K27</f>
        <v>114750000</v>
      </c>
      <c r="D11" s="305"/>
      <c r="E11" s="312"/>
      <c r="F11" s="312">
        <v>114750000</v>
      </c>
      <c r="G11" s="327"/>
    </row>
    <row r="12" spans="1:7" ht="31.5" hidden="1">
      <c r="A12" s="132">
        <v>2</v>
      </c>
      <c r="B12" s="336" t="s">
        <v>505</v>
      </c>
      <c r="C12" s="313">
        <f>'Nhiệm vụ QH'!K38</f>
        <v>7000000</v>
      </c>
      <c r="D12" s="305"/>
      <c r="E12" s="312"/>
      <c r="F12" s="312">
        <v>7000000</v>
      </c>
      <c r="G12" s="327"/>
    </row>
    <row r="13" spans="1:7" ht="15.75" hidden="1">
      <c r="A13" s="132">
        <v>3</v>
      </c>
      <c r="B13" s="336" t="s">
        <v>512</v>
      </c>
      <c r="C13" s="313">
        <f>'Nhiệm vụ QH'!K41</f>
        <v>79950000</v>
      </c>
      <c r="D13" s="305"/>
      <c r="E13" s="312"/>
      <c r="F13" s="312">
        <v>79950000</v>
      </c>
      <c r="G13" s="327"/>
    </row>
    <row r="14" spans="1:7" s="251" customFormat="1" ht="15.75">
      <c r="A14" s="328" t="s">
        <v>10</v>
      </c>
      <c r="B14" s="294" t="s">
        <v>382</v>
      </c>
      <c r="C14" s="314">
        <f>C15+C35+C43+C44+C45+C46</f>
        <v>68708862923.72987</v>
      </c>
      <c r="D14" s="315"/>
      <c r="E14" s="316">
        <f>E15+E43+E44+E45</f>
        <v>5773540050.657174</v>
      </c>
      <c r="F14" s="316">
        <f>C14+E14</f>
        <v>74482402974.38705</v>
      </c>
      <c r="G14" s="329"/>
    </row>
    <row r="15" spans="1:7" ht="15.75">
      <c r="A15" s="134" t="s">
        <v>237</v>
      </c>
      <c r="B15" s="29" t="s">
        <v>365</v>
      </c>
      <c r="C15" s="317">
        <f>SUM(C16:C34)</f>
        <v>18720925000</v>
      </c>
      <c r="D15" s="305">
        <v>18720</v>
      </c>
      <c r="E15" s="311">
        <f>C15*0.1</f>
        <v>1872092500</v>
      </c>
      <c r="F15" s="311">
        <f>C15+E15</f>
        <v>20593017500</v>
      </c>
      <c r="G15" s="330" t="s">
        <v>611</v>
      </c>
    </row>
    <row r="16" spans="1:7" ht="15.75">
      <c r="A16" s="132" t="s">
        <v>376</v>
      </c>
      <c r="B16" s="34" t="s">
        <v>11</v>
      </c>
      <c r="C16" s="318">
        <f>'Lập QH_Trực tiếp'!H62*1000</f>
        <v>1518867500</v>
      </c>
      <c r="D16" s="305"/>
      <c r="E16" s="312">
        <f>C16*0.1</f>
        <v>151886750</v>
      </c>
      <c r="F16" s="312">
        <f aca="true" t="shared" si="0" ref="F16:F34">C16+E16</f>
        <v>1670754250</v>
      </c>
      <c r="G16" s="331"/>
    </row>
    <row r="17" spans="1:7" ht="31.5">
      <c r="A17" s="132" t="s">
        <v>377</v>
      </c>
      <c r="B17" s="34" t="s">
        <v>56</v>
      </c>
      <c r="C17" s="318">
        <f>'Lập QH_Trực tiếp'!H87*1000</f>
        <v>964155000</v>
      </c>
      <c r="D17" s="305"/>
      <c r="E17" s="312">
        <f aca="true" t="shared" si="1" ref="E17:E34">C17*0.1</f>
        <v>96415500</v>
      </c>
      <c r="F17" s="312">
        <f t="shared" si="0"/>
        <v>1060570500</v>
      </c>
      <c r="G17" s="331"/>
    </row>
    <row r="18" spans="1:7" ht="47.25">
      <c r="A18" s="132" t="s">
        <v>378</v>
      </c>
      <c r="B18" s="34" t="s">
        <v>58</v>
      </c>
      <c r="C18" s="318">
        <f>'Lập QH_Trực tiếp'!H97*1000</f>
        <v>3066590000</v>
      </c>
      <c r="D18" s="305"/>
      <c r="E18" s="312">
        <f t="shared" si="1"/>
        <v>306659000</v>
      </c>
      <c r="F18" s="312">
        <f t="shared" si="0"/>
        <v>3373249000</v>
      </c>
      <c r="G18" s="331"/>
    </row>
    <row r="19" spans="1:7" ht="15.75">
      <c r="A19" s="132" t="s">
        <v>379</v>
      </c>
      <c r="B19" s="34" t="s">
        <v>66</v>
      </c>
      <c r="C19" s="318">
        <f>'Lập QH_Trực tiếp'!H109*1000</f>
        <v>780080000</v>
      </c>
      <c r="D19" s="305"/>
      <c r="E19" s="312">
        <f t="shared" si="1"/>
        <v>78008000</v>
      </c>
      <c r="F19" s="312">
        <f t="shared" si="0"/>
        <v>858088000</v>
      </c>
      <c r="G19" s="331"/>
    </row>
    <row r="20" spans="1:7" ht="31.5">
      <c r="A20" s="132" t="s">
        <v>380</v>
      </c>
      <c r="B20" s="34" t="s">
        <v>164</v>
      </c>
      <c r="C20" s="318">
        <f>'Lập QH_Trực tiếp'!H125*1000</f>
        <v>231337500</v>
      </c>
      <c r="D20" s="305"/>
      <c r="E20" s="312">
        <f t="shared" si="1"/>
        <v>23133750</v>
      </c>
      <c r="F20" s="312">
        <f t="shared" si="0"/>
        <v>254471250</v>
      </c>
      <c r="G20" s="331"/>
    </row>
    <row r="21" spans="1:7" ht="31.5">
      <c r="A21" s="132" t="s">
        <v>381</v>
      </c>
      <c r="B21" s="34" t="s">
        <v>166</v>
      </c>
      <c r="C21" s="318">
        <f>'Lập QH_Trực tiếp'!H129*1000</f>
        <v>577597500</v>
      </c>
      <c r="D21" s="305"/>
      <c r="E21" s="312">
        <f t="shared" si="1"/>
        <v>57759750</v>
      </c>
      <c r="F21" s="312">
        <f t="shared" si="0"/>
        <v>635357250</v>
      </c>
      <c r="G21" s="331"/>
    </row>
    <row r="22" spans="1:7" ht="47.25">
      <c r="A22" s="132" t="s">
        <v>383</v>
      </c>
      <c r="B22" s="34" t="s">
        <v>171</v>
      </c>
      <c r="C22" s="318">
        <f>'Lập QH_Trực tiếp'!H135*1000</f>
        <v>1253700000</v>
      </c>
      <c r="D22" s="305"/>
      <c r="E22" s="312">
        <f t="shared" si="1"/>
        <v>125370000</v>
      </c>
      <c r="F22" s="312">
        <f t="shared" si="0"/>
        <v>1379070000</v>
      </c>
      <c r="G22" s="331"/>
    </row>
    <row r="23" spans="1:7" ht="47.25">
      <c r="A23" s="132" t="s">
        <v>384</v>
      </c>
      <c r="B23" s="34" t="s">
        <v>172</v>
      </c>
      <c r="C23" s="318">
        <f>'Lập QH_Trực tiếp'!H143*1000</f>
        <v>1262655000</v>
      </c>
      <c r="D23" s="305"/>
      <c r="E23" s="312">
        <f t="shared" si="1"/>
        <v>126265500</v>
      </c>
      <c r="F23" s="312">
        <f t="shared" si="0"/>
        <v>1388920500</v>
      </c>
      <c r="G23" s="331"/>
    </row>
    <row r="24" spans="1:7" ht="31.5">
      <c r="A24" s="132" t="s">
        <v>385</v>
      </c>
      <c r="B24" s="34" t="s">
        <v>176</v>
      </c>
      <c r="C24" s="318">
        <f>'Lập QH_Trực tiếp'!H152*1000</f>
        <v>362677500</v>
      </c>
      <c r="D24" s="305"/>
      <c r="E24" s="312">
        <f t="shared" si="1"/>
        <v>36267750</v>
      </c>
      <c r="F24" s="312">
        <f t="shared" si="0"/>
        <v>398945250</v>
      </c>
      <c r="G24" s="331"/>
    </row>
    <row r="25" spans="1:7" ht="31.5">
      <c r="A25" s="132" t="s">
        <v>386</v>
      </c>
      <c r="B25" s="34" t="s">
        <v>177</v>
      </c>
      <c r="C25" s="318">
        <f>'Lập QH_Trực tiếp'!H156*1000</f>
        <v>1009427500</v>
      </c>
      <c r="D25" s="305"/>
      <c r="E25" s="312">
        <f t="shared" si="1"/>
        <v>100942750</v>
      </c>
      <c r="F25" s="312">
        <f t="shared" si="0"/>
        <v>1110370250</v>
      </c>
      <c r="G25" s="331"/>
    </row>
    <row r="26" spans="1:7" ht="31.5">
      <c r="A26" s="132" t="s">
        <v>387</v>
      </c>
      <c r="B26" s="34" t="s">
        <v>89</v>
      </c>
      <c r="C26" s="318">
        <f>'Lập QH_Trực tiếp'!H164*1000</f>
        <v>238800000</v>
      </c>
      <c r="D26" s="305"/>
      <c r="E26" s="312">
        <f t="shared" si="1"/>
        <v>23880000</v>
      </c>
      <c r="F26" s="312">
        <f t="shared" si="0"/>
        <v>262680000</v>
      </c>
      <c r="G26" s="331"/>
    </row>
    <row r="27" spans="1:7" ht="47.25">
      <c r="A27" s="132" t="s">
        <v>388</v>
      </c>
      <c r="B27" s="34" t="s">
        <v>92</v>
      </c>
      <c r="C27" s="318">
        <f>'Lập QH_Trực tiếp'!H167*1000</f>
        <v>283575000</v>
      </c>
      <c r="D27" s="305"/>
      <c r="E27" s="312">
        <f t="shared" si="1"/>
        <v>28357500</v>
      </c>
      <c r="F27" s="312">
        <f t="shared" si="0"/>
        <v>311932500</v>
      </c>
      <c r="G27" s="331"/>
    </row>
    <row r="28" spans="1:7" ht="31.5">
      <c r="A28" s="132" t="s">
        <v>389</v>
      </c>
      <c r="B28" s="34" t="s">
        <v>96</v>
      </c>
      <c r="C28" s="318">
        <f>'Lập QH_Trực tiếp'!H171*1000</f>
        <v>353722500</v>
      </c>
      <c r="D28" s="305"/>
      <c r="E28" s="312">
        <f t="shared" si="1"/>
        <v>35372250</v>
      </c>
      <c r="F28" s="312">
        <f t="shared" si="0"/>
        <v>389094750</v>
      </c>
      <c r="G28" s="331"/>
    </row>
    <row r="29" spans="1:7" ht="31.5">
      <c r="A29" s="132" t="s">
        <v>390</v>
      </c>
      <c r="B29" s="34" t="s">
        <v>180</v>
      </c>
      <c r="C29" s="318">
        <f>'Lập QH_Trực tiếp'!H176*1000</f>
        <v>299495000</v>
      </c>
      <c r="D29" s="305"/>
      <c r="E29" s="312">
        <f t="shared" si="1"/>
        <v>29949500</v>
      </c>
      <c r="F29" s="312">
        <f t="shared" si="0"/>
        <v>329444500</v>
      </c>
      <c r="G29" s="331"/>
    </row>
    <row r="30" spans="1:7" ht="15.75">
      <c r="A30" s="132" t="s">
        <v>391</v>
      </c>
      <c r="B30" s="34" t="s">
        <v>182</v>
      </c>
      <c r="C30" s="318">
        <f>'Lập QH_Trực tiếp'!H181*1000</f>
        <v>567150000</v>
      </c>
      <c r="D30" s="305"/>
      <c r="E30" s="312">
        <f t="shared" si="1"/>
        <v>56715000</v>
      </c>
      <c r="F30" s="312">
        <f t="shared" si="0"/>
        <v>623865000</v>
      </c>
      <c r="G30" s="331"/>
    </row>
    <row r="31" spans="1:7" ht="15.75">
      <c r="A31" s="132" t="s">
        <v>392</v>
      </c>
      <c r="B31" s="34" t="s">
        <v>189</v>
      </c>
      <c r="C31" s="318">
        <f>'Lập QH_Trực tiếp'!H188*1000</f>
        <v>3493445000</v>
      </c>
      <c r="D31" s="305"/>
      <c r="E31" s="312">
        <f t="shared" si="1"/>
        <v>349344500</v>
      </c>
      <c r="F31" s="312">
        <f t="shared" si="0"/>
        <v>3842789500</v>
      </c>
      <c r="G31" s="331"/>
    </row>
    <row r="32" spans="1:7" ht="15.75">
      <c r="A32" s="132" t="s">
        <v>393</v>
      </c>
      <c r="B32" s="34" t="s">
        <v>111</v>
      </c>
      <c r="C32" s="318">
        <f>'Lập QH_Trực tiếp'!H205*1000</f>
        <v>1343250000</v>
      </c>
      <c r="D32" s="305"/>
      <c r="E32" s="312">
        <f t="shared" si="1"/>
        <v>134325000</v>
      </c>
      <c r="F32" s="312">
        <f t="shared" si="0"/>
        <v>1477575000</v>
      </c>
      <c r="G32" s="331"/>
    </row>
    <row r="33" spans="1:7" ht="31.5">
      <c r="A33" s="132" t="s">
        <v>394</v>
      </c>
      <c r="B33" s="34" t="s">
        <v>114</v>
      </c>
      <c r="C33" s="318">
        <f>'Lập QH_Trực tiếp'!H208*1000</f>
        <v>417900000</v>
      </c>
      <c r="D33" s="305"/>
      <c r="E33" s="312">
        <f t="shared" si="1"/>
        <v>41790000</v>
      </c>
      <c r="F33" s="312">
        <f t="shared" si="0"/>
        <v>459690000</v>
      </c>
      <c r="G33" s="331"/>
    </row>
    <row r="34" spans="1:7" ht="15.75">
      <c r="A34" s="132" t="s">
        <v>395</v>
      </c>
      <c r="B34" s="34" t="s">
        <v>202</v>
      </c>
      <c r="C34" s="318">
        <f>'Lập QH_Trực tiếp'!H212*1000</f>
        <v>696500000</v>
      </c>
      <c r="D34" s="305"/>
      <c r="E34" s="312">
        <f t="shared" si="1"/>
        <v>69650000</v>
      </c>
      <c r="F34" s="312">
        <f t="shared" si="0"/>
        <v>766150000</v>
      </c>
      <c r="G34" s="331"/>
    </row>
    <row r="35" spans="1:7" ht="15.75">
      <c r="A35" s="134" t="s">
        <v>238</v>
      </c>
      <c r="B35" s="29" t="s">
        <v>366</v>
      </c>
      <c r="C35" s="317">
        <f>C36+C37+C40+C41+C42</f>
        <v>7837369377.5</v>
      </c>
      <c r="D35" s="305">
        <v>7913</v>
      </c>
      <c r="E35" s="312"/>
      <c r="F35" s="311">
        <v>7837369377.5</v>
      </c>
      <c r="G35" s="331"/>
    </row>
    <row r="36" spans="1:7" ht="15.75">
      <c r="A36" s="132" t="s">
        <v>274</v>
      </c>
      <c r="B36" s="34" t="s">
        <v>367</v>
      </c>
      <c r="C36" s="319">
        <f>'Lựa chọn nhà thầu'!D18</f>
        <v>180466177.5</v>
      </c>
      <c r="D36" s="305"/>
      <c r="E36" s="312"/>
      <c r="F36" s="312">
        <v>180466177.5</v>
      </c>
      <c r="G36" s="330" t="s">
        <v>614</v>
      </c>
    </row>
    <row r="37" spans="1:7" ht="15.75">
      <c r="A37" s="132" t="s">
        <v>276</v>
      </c>
      <c r="B37" s="34" t="s">
        <v>429</v>
      </c>
      <c r="C37" s="319">
        <f>SUM(C38:C39)</f>
        <v>5869130000</v>
      </c>
      <c r="D37" s="305"/>
      <c r="E37" s="312"/>
      <c r="F37" s="312">
        <v>5869130000</v>
      </c>
      <c r="G37" s="330" t="s">
        <v>615</v>
      </c>
    </row>
    <row r="38" spans="1:7" ht="47.25">
      <c r="A38" s="173" t="s">
        <v>540</v>
      </c>
      <c r="B38" s="98" t="s">
        <v>341</v>
      </c>
      <c r="C38" s="320">
        <f>'Chi phí Hội thảo'!G5</f>
        <v>1499040000</v>
      </c>
      <c r="D38" s="305"/>
      <c r="E38" s="312"/>
      <c r="F38" s="321">
        <v>1499040000</v>
      </c>
      <c r="G38" s="330"/>
    </row>
    <row r="39" spans="1:7" ht="31.5">
      <c r="A39" s="173" t="s">
        <v>541</v>
      </c>
      <c r="B39" s="98" t="s">
        <v>475</v>
      </c>
      <c r="C39" s="320">
        <f>'HT xin ý kiến Đề xuất'!H4</f>
        <v>4370090000</v>
      </c>
      <c r="D39" s="305"/>
      <c r="E39" s="312"/>
      <c r="F39" s="321">
        <v>4370090000</v>
      </c>
      <c r="G39" s="330"/>
    </row>
    <row r="40" spans="1:7" ht="31.5">
      <c r="A40" s="132" t="s">
        <v>278</v>
      </c>
      <c r="B40" s="34" t="s">
        <v>368</v>
      </c>
      <c r="C40" s="319">
        <f>'Chi phí thẩm định Qh'!E5</f>
        <v>390000000</v>
      </c>
      <c r="D40" s="305"/>
      <c r="E40" s="312"/>
      <c r="F40" s="312">
        <v>390000000</v>
      </c>
      <c r="G40" s="330" t="s">
        <v>616</v>
      </c>
    </row>
    <row r="41" spans="1:7" ht="15.75">
      <c r="A41" s="132" t="s">
        <v>280</v>
      </c>
      <c r="B41" s="34" t="s">
        <v>369</v>
      </c>
      <c r="C41" s="319">
        <f>'Chi phí công bố QH'!F4</f>
        <v>287380000</v>
      </c>
      <c r="D41" s="305"/>
      <c r="E41" s="312"/>
      <c r="F41" s="312">
        <v>287380000</v>
      </c>
      <c r="G41" s="330" t="s">
        <v>617</v>
      </c>
    </row>
    <row r="42" spans="1:7" ht="15.75">
      <c r="A42" s="132" t="s">
        <v>281</v>
      </c>
      <c r="B42" s="87" t="s">
        <v>399</v>
      </c>
      <c r="C42" s="319">
        <f>'Chi phí Khác'!I24</f>
        <v>1110393200</v>
      </c>
      <c r="D42" s="305"/>
      <c r="E42" s="312"/>
      <c r="F42" s="312">
        <v>1110393200</v>
      </c>
      <c r="G42" s="330" t="s">
        <v>618</v>
      </c>
    </row>
    <row r="43" spans="1:7" s="158" customFormat="1" ht="15.75">
      <c r="A43" s="134" t="s">
        <v>370</v>
      </c>
      <c r="B43" s="30" t="s">
        <v>371</v>
      </c>
      <c r="C43" s="317">
        <f>'Đánh giá môi trường'!F9</f>
        <v>598228915.6626506</v>
      </c>
      <c r="D43" s="29">
        <v>598</v>
      </c>
      <c r="E43" s="338">
        <f>C43*0.1</f>
        <v>59822891.56626506</v>
      </c>
      <c r="F43" s="338">
        <f>C43+E43</f>
        <v>658051807.2289157</v>
      </c>
      <c r="G43" s="330" t="s">
        <v>619</v>
      </c>
    </row>
    <row r="44" spans="1:7" s="158" customFormat="1" ht="31.5">
      <c r="A44" s="134" t="s">
        <v>372</v>
      </c>
      <c r="B44" s="30" t="s">
        <v>373</v>
      </c>
      <c r="C44" s="317">
        <f>'Lập QH_Trực tiếp'!H216*1000</f>
        <v>35565337500</v>
      </c>
      <c r="D44" s="29">
        <v>32955</v>
      </c>
      <c r="E44" s="338">
        <f>C44*0.1</f>
        <v>3556533750</v>
      </c>
      <c r="F44" s="338">
        <f>C44+E44</f>
        <v>39121871250</v>
      </c>
      <c r="G44" s="330" t="s">
        <v>620</v>
      </c>
    </row>
    <row r="45" spans="1:7" s="347" customFormat="1" ht="31.5">
      <c r="A45" s="341" t="s">
        <v>396</v>
      </c>
      <c r="B45" s="342" t="s">
        <v>624</v>
      </c>
      <c r="C45" s="343">
        <f>F45/1.1</f>
        <v>2850909090.9090905</v>
      </c>
      <c r="D45" s="344"/>
      <c r="E45" s="345">
        <f>0.1*C45</f>
        <v>285090909.09090906</v>
      </c>
      <c r="F45" s="345">
        <v>3136000000</v>
      </c>
      <c r="G45" s="346"/>
    </row>
    <row r="46" spans="1:7" ht="15.75">
      <c r="A46" s="134" t="s">
        <v>536</v>
      </c>
      <c r="B46" s="30" t="s">
        <v>397</v>
      </c>
      <c r="C46" s="317">
        <f>'chi phí dự phòng'!C16</f>
        <v>3136093039.6581326</v>
      </c>
      <c r="D46" s="305">
        <v>6019</v>
      </c>
      <c r="E46" s="312"/>
      <c r="F46" s="311">
        <f>C46</f>
        <v>3136093039.6581326</v>
      </c>
      <c r="G46" s="330" t="s">
        <v>621</v>
      </c>
    </row>
    <row r="47" spans="1:7" ht="15.75">
      <c r="A47" s="352" t="s">
        <v>321</v>
      </c>
      <c r="B47" s="353"/>
      <c r="C47" s="322">
        <f>C4+C14</f>
        <v>69294062923.72987</v>
      </c>
      <c r="D47" s="322">
        <f>D4+D14</f>
        <v>0</v>
      </c>
      <c r="E47" s="322">
        <f>E4+E14</f>
        <v>5811890050.657174</v>
      </c>
      <c r="F47" s="322">
        <f>F4+F14</f>
        <v>75105952974.38705</v>
      </c>
      <c r="G47" s="327"/>
    </row>
    <row r="48" spans="1:7" ht="15.75" customHeight="1" thickBot="1">
      <c r="A48" s="354" t="s">
        <v>398</v>
      </c>
      <c r="B48" s="355"/>
      <c r="C48" s="332"/>
      <c r="D48" s="333"/>
      <c r="E48" s="333"/>
      <c r="F48" s="334">
        <f>ROUND(F47,-6)</f>
        <v>75106000000</v>
      </c>
      <c r="G48" s="335"/>
    </row>
    <row r="49" ht="15.75">
      <c r="C49" s="159"/>
    </row>
    <row r="50" ht="15.75">
      <c r="F50" s="339">
        <v>75106046014</v>
      </c>
    </row>
    <row r="51" ht="15.75">
      <c r="F51" s="340"/>
    </row>
  </sheetData>
  <sheetProtection/>
  <mergeCells count="4">
    <mergeCell ref="A47:B47"/>
    <mergeCell ref="A48:B48"/>
    <mergeCell ref="A1:G2"/>
    <mergeCell ref="G4:G10"/>
  </mergeCells>
  <printOptions/>
  <pageMargins left="0.7" right="0.42" top="0.55" bottom="0.45" header="0.28"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57"/>
  <sheetViews>
    <sheetView zoomScalePageLayoutView="0" workbookViewId="0" topLeftCell="A48">
      <selection activeCell="B36" sqref="B36"/>
    </sheetView>
  </sheetViews>
  <sheetFormatPr defaultColWidth="9.140625" defaultRowHeight="15"/>
  <cols>
    <col min="1" max="1" width="6.140625" style="32" customWidth="1"/>
    <col min="2" max="2" width="56.140625" style="32" customWidth="1"/>
    <col min="3" max="3" width="17.421875" style="32" customWidth="1"/>
    <col min="4" max="4" width="14.421875" style="32" hidden="1" customWidth="1"/>
    <col min="5" max="5" width="12.00390625" style="32" hidden="1" customWidth="1"/>
    <col min="6" max="6" width="11.57421875" style="32" hidden="1" customWidth="1"/>
    <col min="7" max="7" width="17.421875" style="32" hidden="1" customWidth="1"/>
    <col min="8" max="8" width="17.421875" style="32" customWidth="1"/>
    <col min="9" max="9" width="11.57421875" style="32" customWidth="1"/>
    <col min="10" max="10" width="15.421875" style="32" customWidth="1"/>
    <col min="11" max="11" width="18.7109375" style="148" customWidth="1"/>
    <col min="12" max="12" width="12.421875" style="32" bestFit="1" customWidth="1"/>
    <col min="13" max="13" width="11.421875" style="32" customWidth="1"/>
    <col min="14" max="14" width="16.28125" style="32" customWidth="1"/>
    <col min="15" max="15" width="12.140625" style="32" customWidth="1"/>
    <col min="16" max="17" width="9.140625" style="32" customWidth="1"/>
    <col min="18" max="18" width="16.8515625" style="32" bestFit="1" customWidth="1"/>
    <col min="19" max="16384" width="9.140625" style="32" customWidth="1"/>
  </cols>
  <sheetData>
    <row r="1" spans="1:2" ht="15.75">
      <c r="A1" s="357"/>
      <c r="B1" s="357"/>
    </row>
    <row r="2" spans="1:11" ht="42" customHeight="1">
      <c r="A2" s="358" t="s">
        <v>532</v>
      </c>
      <c r="B2" s="359"/>
      <c r="C2" s="359"/>
      <c r="D2" s="359"/>
      <c r="E2" s="359"/>
      <c r="F2" s="359"/>
      <c r="G2" s="359"/>
      <c r="H2" s="359"/>
      <c r="I2" s="359"/>
      <c r="J2" s="359"/>
      <c r="K2" s="359"/>
    </row>
    <row r="3" spans="1:11" ht="10.5" customHeight="1">
      <c r="A3" s="143"/>
      <c r="B3" s="144"/>
      <c r="C3" s="144"/>
      <c r="D3" s="144"/>
      <c r="E3" s="144"/>
      <c r="F3" s="144"/>
      <c r="G3" s="144"/>
      <c r="H3" s="144"/>
      <c r="I3" s="144"/>
      <c r="J3" s="144"/>
      <c r="K3" s="144"/>
    </row>
    <row r="4" ht="18" customHeight="1" thickBot="1">
      <c r="K4" s="145" t="s">
        <v>533</v>
      </c>
    </row>
    <row r="5" spans="9:11" ht="16.5" hidden="1" thickBot="1">
      <c r="I5" s="146" t="s">
        <v>296</v>
      </c>
      <c r="J5" s="147">
        <v>40000000</v>
      </c>
      <c r="K5" s="32"/>
    </row>
    <row r="6" spans="9:11" ht="16.5" hidden="1" thickBot="1">
      <c r="I6" s="146" t="s">
        <v>295</v>
      </c>
      <c r="J6" s="147">
        <v>30000000</v>
      </c>
      <c r="K6" s="32"/>
    </row>
    <row r="7" spans="9:11" ht="16.5" hidden="1" thickBot="1">
      <c r="I7" s="146" t="s">
        <v>484</v>
      </c>
      <c r="J7" s="147">
        <v>20000000</v>
      </c>
      <c r="K7" s="32"/>
    </row>
    <row r="8" spans="9:11" ht="16.5" hidden="1" thickBot="1">
      <c r="I8" s="146" t="s">
        <v>495</v>
      </c>
      <c r="J8" s="147">
        <v>15000000</v>
      </c>
      <c r="K8" s="32"/>
    </row>
    <row r="9" spans="1:11" ht="47.25">
      <c r="A9" s="125" t="s">
        <v>482</v>
      </c>
      <c r="B9" s="126" t="s">
        <v>320</v>
      </c>
      <c r="C9" s="126" t="s">
        <v>483</v>
      </c>
      <c r="D9" s="127" t="s">
        <v>296</v>
      </c>
      <c r="E9" s="127" t="s">
        <v>295</v>
      </c>
      <c r="F9" s="127" t="s">
        <v>484</v>
      </c>
      <c r="G9" s="127" t="s">
        <v>485</v>
      </c>
      <c r="H9" s="127" t="s">
        <v>486</v>
      </c>
      <c r="I9" s="127" t="s">
        <v>299</v>
      </c>
      <c r="J9" s="126" t="s">
        <v>487</v>
      </c>
      <c r="K9" s="127" t="s">
        <v>488</v>
      </c>
    </row>
    <row r="10" spans="1:11" s="149" customFormat="1" ht="15.75">
      <c r="A10" s="128" t="s">
        <v>0</v>
      </c>
      <c r="B10" s="72" t="s">
        <v>489</v>
      </c>
      <c r="C10" s="72"/>
      <c r="D10" s="129"/>
      <c r="E10" s="129"/>
      <c r="F10" s="129"/>
      <c r="G10" s="70"/>
      <c r="H10" s="70"/>
      <c r="I10" s="70"/>
      <c r="J10" s="130"/>
      <c r="K10" s="131">
        <f>K11+K25</f>
        <v>421850000</v>
      </c>
    </row>
    <row r="11" spans="1:11" s="149" customFormat="1" ht="31.5">
      <c r="A11" s="128" t="s">
        <v>490</v>
      </c>
      <c r="B11" s="72" t="s">
        <v>538</v>
      </c>
      <c r="C11" s="72"/>
      <c r="D11" s="129"/>
      <c r="E11" s="129"/>
      <c r="F11" s="129"/>
      <c r="G11" s="70"/>
      <c r="H11" s="70"/>
      <c r="I11" s="70"/>
      <c r="J11" s="130">
        <f>J12+J13+J23+J24</f>
        <v>288</v>
      </c>
      <c r="K11" s="131">
        <f>K12+K13+K23+K24</f>
        <v>383500000</v>
      </c>
    </row>
    <row r="12" spans="1:11" ht="31.5">
      <c r="A12" s="132">
        <v>1</v>
      </c>
      <c r="B12" s="122" t="s">
        <v>491</v>
      </c>
      <c r="C12" s="123" t="s">
        <v>1</v>
      </c>
      <c r="D12" s="64" t="e">
        <f>($J$13/$J$12)*#REF!</f>
        <v>#REF!</v>
      </c>
      <c r="E12" s="64" t="e">
        <f>($J$13/$J$12)*#REF!</f>
        <v>#REF!</v>
      </c>
      <c r="F12" s="64" t="e">
        <f>($J$13/$J$12)*#REF!</f>
        <v>#REF!</v>
      </c>
      <c r="G12" s="64" t="e">
        <f>($J$13/$J$12)*#REF!</f>
        <v>#REF!</v>
      </c>
      <c r="H12" s="64" t="s">
        <v>295</v>
      </c>
      <c r="I12" s="64">
        <f>J6/26*1.3</f>
        <v>1500000</v>
      </c>
      <c r="J12" s="123">
        <v>30</v>
      </c>
      <c r="K12" s="64">
        <f>I12*J12</f>
        <v>45000000</v>
      </c>
    </row>
    <row r="13" spans="1:11" ht="15.75">
      <c r="A13" s="132">
        <v>2</v>
      </c>
      <c r="B13" s="122" t="s">
        <v>476</v>
      </c>
      <c r="C13" s="123"/>
      <c r="D13" s="64" t="e">
        <f>$J$14/$J$12*#REF!</f>
        <v>#REF!</v>
      </c>
      <c r="E13" s="64" t="e">
        <f>$J$14/$J$12*#REF!</f>
        <v>#REF!</v>
      </c>
      <c r="F13" s="64" t="e">
        <f>$J$14/$J$12*#REF!</f>
        <v>#REF!</v>
      </c>
      <c r="G13" s="64" t="e">
        <f>$J$14/$J$12*#REF!</f>
        <v>#REF!</v>
      </c>
      <c r="H13" s="64"/>
      <c r="I13" s="64"/>
      <c r="J13" s="123">
        <f>SUM(J15:J24)</f>
        <v>214</v>
      </c>
      <c r="K13" s="64">
        <f>SUM(K15:K22)</f>
        <v>288000000</v>
      </c>
    </row>
    <row r="14" spans="1:11" ht="15.75">
      <c r="A14" s="132" t="s">
        <v>2</v>
      </c>
      <c r="B14" s="122" t="s">
        <v>492</v>
      </c>
      <c r="C14" s="123"/>
      <c r="D14" s="64"/>
      <c r="E14" s="64"/>
      <c r="F14" s="64"/>
      <c r="G14" s="64"/>
      <c r="H14" s="64"/>
      <c r="I14" s="64"/>
      <c r="J14" s="123"/>
      <c r="K14" s="133">
        <f>SUM(K15:K20)</f>
        <v>248000000</v>
      </c>
    </row>
    <row r="15" spans="1:11" ht="15.75">
      <c r="A15" s="132" t="s">
        <v>3</v>
      </c>
      <c r="B15" s="122" t="s">
        <v>275</v>
      </c>
      <c r="C15" s="123" t="s">
        <v>4</v>
      </c>
      <c r="D15" s="64"/>
      <c r="E15" s="64"/>
      <c r="F15" s="64"/>
      <c r="G15" s="64"/>
      <c r="H15" s="64" t="s">
        <v>484</v>
      </c>
      <c r="I15" s="64">
        <f>J7/26*1.3</f>
        <v>1000000</v>
      </c>
      <c r="J15" s="123">
        <v>7</v>
      </c>
      <c r="K15" s="64">
        <f>I15*J15</f>
        <v>7000000</v>
      </c>
    </row>
    <row r="16" spans="1:11" ht="15.75">
      <c r="A16" s="132" t="s">
        <v>5</v>
      </c>
      <c r="B16" s="122" t="s">
        <v>277</v>
      </c>
      <c r="C16" s="123" t="s">
        <v>6</v>
      </c>
      <c r="D16" s="64"/>
      <c r="E16" s="64"/>
      <c r="F16" s="64"/>
      <c r="G16" s="64"/>
      <c r="H16" s="64" t="s">
        <v>296</v>
      </c>
      <c r="I16" s="64">
        <f>$J$5/26*1.3</f>
        <v>2000000</v>
      </c>
      <c r="J16" s="123">
        <v>25</v>
      </c>
      <c r="K16" s="64">
        <f aca="true" t="shared" si="0" ref="K16:K22">I16*J16</f>
        <v>50000000</v>
      </c>
    </row>
    <row r="17" spans="1:11" ht="31.5">
      <c r="A17" s="132" t="s">
        <v>289</v>
      </c>
      <c r="B17" s="122" t="s">
        <v>279</v>
      </c>
      <c r="C17" s="123" t="s">
        <v>6</v>
      </c>
      <c r="D17" s="64"/>
      <c r="E17" s="64"/>
      <c r="F17" s="64"/>
      <c r="G17" s="64"/>
      <c r="H17" s="64" t="s">
        <v>296</v>
      </c>
      <c r="I17" s="64">
        <f>$J$5/26*1.3</f>
        <v>2000000</v>
      </c>
      <c r="J17" s="123">
        <v>35</v>
      </c>
      <c r="K17" s="64">
        <f t="shared" si="0"/>
        <v>70000000</v>
      </c>
    </row>
    <row r="18" spans="1:11" ht="31.5">
      <c r="A18" s="132" t="s">
        <v>291</v>
      </c>
      <c r="B18" s="122" t="s">
        <v>493</v>
      </c>
      <c r="C18" s="123" t="s">
        <v>1</v>
      </c>
      <c r="D18" s="64"/>
      <c r="E18" s="64"/>
      <c r="F18" s="64"/>
      <c r="G18" s="64"/>
      <c r="H18" s="64" t="s">
        <v>296</v>
      </c>
      <c r="I18" s="64">
        <f>$J$5/26*1.3</f>
        <v>2000000</v>
      </c>
      <c r="J18" s="123">
        <v>50</v>
      </c>
      <c r="K18" s="64">
        <f t="shared" si="0"/>
        <v>100000000</v>
      </c>
    </row>
    <row r="19" spans="1:11" ht="15.75">
      <c r="A19" s="132" t="s">
        <v>290</v>
      </c>
      <c r="B19" s="122" t="s">
        <v>282</v>
      </c>
      <c r="C19" s="123" t="s">
        <v>6</v>
      </c>
      <c r="D19" s="64"/>
      <c r="E19" s="64"/>
      <c r="F19" s="64"/>
      <c r="G19" s="64"/>
      <c r="H19" s="64" t="s">
        <v>296</v>
      </c>
      <c r="I19" s="64">
        <f>$J$5/26*1.3</f>
        <v>2000000</v>
      </c>
      <c r="J19" s="123">
        <v>8</v>
      </c>
      <c r="K19" s="64">
        <f t="shared" si="0"/>
        <v>16000000</v>
      </c>
    </row>
    <row r="20" spans="1:11" ht="31.5">
      <c r="A20" s="132" t="s">
        <v>292</v>
      </c>
      <c r="B20" s="122" t="s">
        <v>283</v>
      </c>
      <c r="C20" s="123" t="s">
        <v>1</v>
      </c>
      <c r="D20" s="64"/>
      <c r="E20" s="64"/>
      <c r="F20" s="64"/>
      <c r="G20" s="64"/>
      <c r="H20" s="64" t="s">
        <v>484</v>
      </c>
      <c r="I20" s="64">
        <f>$J$7/26*1.3</f>
        <v>1000000</v>
      </c>
      <c r="J20" s="123">
        <v>5</v>
      </c>
      <c r="K20" s="64">
        <f t="shared" si="0"/>
        <v>5000000</v>
      </c>
    </row>
    <row r="21" spans="1:11" ht="31.5">
      <c r="A21" s="132" t="s">
        <v>7</v>
      </c>
      <c r="B21" s="122" t="s">
        <v>284</v>
      </c>
      <c r="C21" s="123" t="s">
        <v>8</v>
      </c>
      <c r="D21" s="64"/>
      <c r="E21" s="64"/>
      <c r="F21" s="64"/>
      <c r="G21" s="64"/>
      <c r="H21" s="64" t="s">
        <v>484</v>
      </c>
      <c r="I21" s="64">
        <f>I15</f>
        <v>1000000</v>
      </c>
      <c r="J21" s="123">
        <v>15</v>
      </c>
      <c r="K21" s="64">
        <f t="shared" si="0"/>
        <v>15000000</v>
      </c>
    </row>
    <row r="22" spans="1:11" ht="15.75">
      <c r="A22" s="132" t="s">
        <v>9</v>
      </c>
      <c r="B22" s="122" t="s">
        <v>285</v>
      </c>
      <c r="C22" s="123" t="s">
        <v>6</v>
      </c>
      <c r="D22" s="64"/>
      <c r="E22" s="64"/>
      <c r="F22" s="64"/>
      <c r="G22" s="64"/>
      <c r="H22" s="64" t="s">
        <v>484</v>
      </c>
      <c r="I22" s="64">
        <f>I21</f>
        <v>1000000</v>
      </c>
      <c r="J22" s="123">
        <v>25</v>
      </c>
      <c r="K22" s="64">
        <f t="shared" si="0"/>
        <v>25000000</v>
      </c>
    </row>
    <row r="23" spans="1:11" ht="15.75">
      <c r="A23" s="132">
        <v>3</v>
      </c>
      <c r="B23" s="122" t="s">
        <v>494</v>
      </c>
      <c r="C23" s="123" t="s">
        <v>293</v>
      </c>
      <c r="D23" s="64" t="e">
        <f>#REF!/$J$12*#REF!</f>
        <v>#REF!</v>
      </c>
      <c r="E23" s="64" t="e">
        <f>#REF!/$J$12*#REF!</f>
        <v>#REF!</v>
      </c>
      <c r="F23" s="64" t="e">
        <f>#REF!/$J$12*#REF!</f>
        <v>#REF!</v>
      </c>
      <c r="G23" s="64"/>
      <c r="H23" s="64" t="s">
        <v>495</v>
      </c>
      <c r="I23" s="64">
        <f>J8/26*1.3</f>
        <v>750000</v>
      </c>
      <c r="J23" s="123">
        <v>30</v>
      </c>
      <c r="K23" s="64">
        <f>J23*I23</f>
        <v>22500000</v>
      </c>
    </row>
    <row r="24" spans="1:11" ht="15.75">
      <c r="A24" s="132">
        <v>4</v>
      </c>
      <c r="B24" s="122" t="s">
        <v>286</v>
      </c>
      <c r="C24" s="123" t="s">
        <v>294</v>
      </c>
      <c r="D24" s="64" t="e">
        <f>#REF!/$J$12*#REF!</f>
        <v>#REF!</v>
      </c>
      <c r="E24" s="64" t="e">
        <f>#REF!/$J$12*#REF!</f>
        <v>#REF!</v>
      </c>
      <c r="F24" s="64" t="e">
        <f>#REF!/$J$12*#REF!</f>
        <v>#REF!</v>
      </c>
      <c r="G24" s="64"/>
      <c r="H24" s="64" t="s">
        <v>296</v>
      </c>
      <c r="I24" s="64">
        <f>I16</f>
        <v>2000000</v>
      </c>
      <c r="J24" s="123">
        <v>14</v>
      </c>
      <c r="K24" s="64">
        <f>J24*I24</f>
        <v>28000000</v>
      </c>
    </row>
    <row r="25" spans="1:11" ht="15.75">
      <c r="A25" s="134" t="s">
        <v>238</v>
      </c>
      <c r="B25" s="124" t="s">
        <v>496</v>
      </c>
      <c r="C25" s="123"/>
      <c r="D25" s="64"/>
      <c r="E25" s="64"/>
      <c r="F25" s="64"/>
      <c r="G25" s="64"/>
      <c r="H25" s="64"/>
      <c r="I25" s="64"/>
      <c r="J25" s="121"/>
      <c r="K25" s="133">
        <f>0.1*K11</f>
        <v>38350000</v>
      </c>
    </row>
    <row r="26" spans="1:18" s="151" customFormat="1" ht="31.5">
      <c r="A26" s="134" t="s">
        <v>10</v>
      </c>
      <c r="B26" s="124" t="s">
        <v>497</v>
      </c>
      <c r="C26" s="121"/>
      <c r="D26" s="133"/>
      <c r="E26" s="133"/>
      <c r="F26" s="133"/>
      <c r="G26" s="133"/>
      <c r="H26" s="133"/>
      <c r="I26" s="133"/>
      <c r="J26" s="121"/>
      <c r="K26" s="133">
        <f>SUBTOTAL(9,K27:K53)</f>
        <v>201700000</v>
      </c>
      <c r="L26" s="150"/>
      <c r="R26" s="206">
        <v>201700000</v>
      </c>
    </row>
    <row r="27" spans="1:14" s="151" customFormat="1" ht="15.75">
      <c r="A27" s="135">
        <v>1</v>
      </c>
      <c r="B27" s="136" t="s">
        <v>498</v>
      </c>
      <c r="C27" s="137"/>
      <c r="D27" s="138"/>
      <c r="E27" s="138"/>
      <c r="F27" s="138"/>
      <c r="G27" s="138"/>
      <c r="H27" s="138"/>
      <c r="I27" s="138"/>
      <c r="J27" s="137"/>
      <c r="K27" s="138">
        <f>SUBTOTAL(9,K28:K37)</f>
        <v>114750000</v>
      </c>
      <c r="L27" s="150"/>
      <c r="N27" s="206"/>
    </row>
    <row r="28" spans="1:14" s="151" customFormat="1" ht="15.75">
      <c r="A28" s="135" t="s">
        <v>376</v>
      </c>
      <c r="B28" s="136" t="s">
        <v>310</v>
      </c>
      <c r="C28" s="137" t="s">
        <v>499</v>
      </c>
      <c r="D28" s="138"/>
      <c r="E28" s="138"/>
      <c r="F28" s="138"/>
      <c r="G28" s="138"/>
      <c r="H28" s="138"/>
      <c r="I28" s="138">
        <v>1500000</v>
      </c>
      <c r="J28" s="137">
        <v>1</v>
      </c>
      <c r="K28" s="138">
        <f>I28*J28</f>
        <v>1500000</v>
      </c>
      <c r="L28" s="150"/>
      <c r="N28" s="206"/>
    </row>
    <row r="29" spans="1:14" s="151" customFormat="1" ht="15.75">
      <c r="A29" s="135" t="s">
        <v>377</v>
      </c>
      <c r="B29" s="136" t="s">
        <v>215</v>
      </c>
      <c r="C29" s="137" t="s">
        <v>499</v>
      </c>
      <c r="D29" s="138"/>
      <c r="E29" s="138"/>
      <c r="F29" s="138"/>
      <c r="G29" s="138"/>
      <c r="H29" s="138"/>
      <c r="I29" s="138">
        <v>500000</v>
      </c>
      <c r="J29" s="137">
        <v>2</v>
      </c>
      <c r="K29" s="138">
        <f>I29*J29</f>
        <v>1000000</v>
      </c>
      <c r="L29" s="150"/>
      <c r="N29" s="206"/>
    </row>
    <row r="30" spans="1:14" s="151" customFormat="1" ht="15.75">
      <c r="A30" s="135" t="s">
        <v>378</v>
      </c>
      <c r="B30" s="136" t="s">
        <v>500</v>
      </c>
      <c r="C30" s="137" t="s">
        <v>500</v>
      </c>
      <c r="D30" s="138"/>
      <c r="E30" s="138"/>
      <c r="F30" s="138"/>
      <c r="G30" s="138"/>
      <c r="H30" s="138"/>
      <c r="I30" s="138">
        <v>2000000</v>
      </c>
      <c r="J30" s="137">
        <v>12</v>
      </c>
      <c r="K30" s="138">
        <f>I30*J30</f>
        <v>24000000</v>
      </c>
      <c r="L30" s="150"/>
      <c r="N30" s="206"/>
    </row>
    <row r="31" spans="1:14" s="151" customFormat="1" ht="15.75">
      <c r="A31" s="135" t="s">
        <v>379</v>
      </c>
      <c r="B31" s="136" t="s">
        <v>552</v>
      </c>
      <c r="C31" s="137" t="s">
        <v>501</v>
      </c>
      <c r="D31" s="138"/>
      <c r="E31" s="138"/>
      <c r="F31" s="138"/>
      <c r="G31" s="138"/>
      <c r="H31" s="138"/>
      <c r="I31" s="138">
        <v>8000000</v>
      </c>
      <c r="J31" s="137">
        <v>1</v>
      </c>
      <c r="K31" s="138">
        <v>8000000</v>
      </c>
      <c r="L31" s="150"/>
      <c r="N31" s="206"/>
    </row>
    <row r="32" spans="1:14" s="151" customFormat="1" ht="15.75">
      <c r="A32" s="135" t="s">
        <v>380</v>
      </c>
      <c r="B32" s="136" t="s">
        <v>553</v>
      </c>
      <c r="C32" s="137" t="s">
        <v>499</v>
      </c>
      <c r="D32" s="138"/>
      <c r="E32" s="138"/>
      <c r="F32" s="138"/>
      <c r="G32" s="138"/>
      <c r="H32" s="138"/>
      <c r="I32" s="138">
        <v>40000</v>
      </c>
      <c r="J32" s="137">
        <v>150</v>
      </c>
      <c r="K32" s="138">
        <f aca="true" t="shared" si="1" ref="K32:K37">I32*J32</f>
        <v>6000000</v>
      </c>
      <c r="L32" s="150"/>
      <c r="N32" s="206"/>
    </row>
    <row r="33" spans="1:14" s="151" customFormat="1" ht="15.75">
      <c r="A33" s="135" t="s">
        <v>381</v>
      </c>
      <c r="B33" s="136" t="s">
        <v>554</v>
      </c>
      <c r="C33" s="137" t="s">
        <v>499</v>
      </c>
      <c r="D33" s="138"/>
      <c r="E33" s="138"/>
      <c r="F33" s="138"/>
      <c r="G33" s="138"/>
      <c r="H33" s="138"/>
      <c r="I33" s="138">
        <v>5000000</v>
      </c>
      <c r="J33" s="137">
        <v>5</v>
      </c>
      <c r="K33" s="138">
        <f t="shared" si="1"/>
        <v>25000000</v>
      </c>
      <c r="L33" s="150"/>
      <c r="N33" s="206"/>
    </row>
    <row r="34" spans="1:14" s="151" customFormat="1" ht="15.75">
      <c r="A34" s="135" t="s">
        <v>383</v>
      </c>
      <c r="B34" s="136" t="s">
        <v>555</v>
      </c>
      <c r="C34" s="137" t="s">
        <v>499</v>
      </c>
      <c r="D34" s="138"/>
      <c r="E34" s="138"/>
      <c r="F34" s="138"/>
      <c r="G34" s="138"/>
      <c r="H34" s="138"/>
      <c r="I34" s="138">
        <v>450000</v>
      </c>
      <c r="J34" s="137">
        <v>5</v>
      </c>
      <c r="K34" s="138">
        <f t="shared" si="1"/>
        <v>2250000</v>
      </c>
      <c r="L34" s="150"/>
      <c r="N34" s="206"/>
    </row>
    <row r="35" spans="1:14" s="151" customFormat="1" ht="15.75">
      <c r="A35" s="135" t="s">
        <v>384</v>
      </c>
      <c r="B35" s="136" t="s">
        <v>502</v>
      </c>
      <c r="C35" s="137" t="s">
        <v>499</v>
      </c>
      <c r="D35" s="138"/>
      <c r="E35" s="138"/>
      <c r="F35" s="138"/>
      <c r="G35" s="138"/>
      <c r="H35" s="138"/>
      <c r="I35" s="138">
        <v>100000</v>
      </c>
      <c r="J35" s="137">
        <v>150</v>
      </c>
      <c r="K35" s="138">
        <f t="shared" si="1"/>
        <v>15000000</v>
      </c>
      <c r="L35" s="150"/>
      <c r="N35" s="206"/>
    </row>
    <row r="36" spans="1:14" s="151" customFormat="1" ht="15.75">
      <c r="A36" s="135" t="s">
        <v>385</v>
      </c>
      <c r="B36" s="136" t="s">
        <v>503</v>
      </c>
      <c r="C36" s="137" t="s">
        <v>499</v>
      </c>
      <c r="D36" s="138"/>
      <c r="E36" s="138"/>
      <c r="F36" s="138"/>
      <c r="G36" s="138"/>
      <c r="H36" s="138"/>
      <c r="I36" s="138">
        <v>200000</v>
      </c>
      <c r="J36" s="137">
        <v>150</v>
      </c>
      <c r="K36" s="138">
        <f t="shared" si="1"/>
        <v>30000000</v>
      </c>
      <c r="L36" s="150"/>
      <c r="N36" s="206"/>
    </row>
    <row r="37" spans="1:14" s="151" customFormat="1" ht="15.75">
      <c r="A37" s="135" t="s">
        <v>386</v>
      </c>
      <c r="B37" s="136" t="s">
        <v>504</v>
      </c>
      <c r="C37" s="137" t="s">
        <v>499</v>
      </c>
      <c r="D37" s="138"/>
      <c r="E37" s="138"/>
      <c r="F37" s="138"/>
      <c r="G37" s="138"/>
      <c r="H37" s="64"/>
      <c r="I37" s="64">
        <v>200000</v>
      </c>
      <c r="J37" s="123">
        <v>10</v>
      </c>
      <c r="K37" s="64">
        <f t="shared" si="1"/>
        <v>2000000</v>
      </c>
      <c r="L37" s="150"/>
      <c r="N37" s="206"/>
    </row>
    <row r="38" spans="1:14" ht="31.5">
      <c r="A38" s="135">
        <v>2</v>
      </c>
      <c r="B38" s="136" t="s">
        <v>505</v>
      </c>
      <c r="C38" s="137" t="s">
        <v>506</v>
      </c>
      <c r="D38" s="138"/>
      <c r="E38" s="138">
        <v>1</v>
      </c>
      <c r="F38" s="138">
        <v>33740000</v>
      </c>
      <c r="G38" s="138"/>
      <c r="H38" s="138"/>
      <c r="I38" s="138"/>
      <c r="J38" s="137">
        <v>1</v>
      </c>
      <c r="K38" s="138">
        <f>SUBTOTAL(9,K39:K40)</f>
        <v>7000000</v>
      </c>
      <c r="N38" s="206"/>
    </row>
    <row r="39" spans="1:11" ht="15.75" customHeight="1">
      <c r="A39" s="135" t="s">
        <v>274</v>
      </c>
      <c r="B39" s="136" t="s">
        <v>507</v>
      </c>
      <c r="C39" s="137" t="s">
        <v>499</v>
      </c>
      <c r="D39" s="138">
        <v>20000</v>
      </c>
      <c r="E39" s="138">
        <v>52</v>
      </c>
      <c r="F39" s="138">
        <v>1040000</v>
      </c>
      <c r="G39" s="138" t="s">
        <v>508</v>
      </c>
      <c r="H39" s="138"/>
      <c r="I39" s="138">
        <v>40000</v>
      </c>
      <c r="J39" s="137">
        <v>50</v>
      </c>
      <c r="K39" s="138">
        <f aca="true" t="shared" si="2" ref="K39:K49">I39*J39</f>
        <v>2000000</v>
      </c>
    </row>
    <row r="40" spans="1:11" ht="18.75" customHeight="1">
      <c r="A40" s="135" t="s">
        <v>276</v>
      </c>
      <c r="B40" s="136" t="s">
        <v>509</v>
      </c>
      <c r="C40" s="137" t="s">
        <v>510</v>
      </c>
      <c r="D40" s="138">
        <v>100000</v>
      </c>
      <c r="E40" s="138">
        <v>52</v>
      </c>
      <c r="F40" s="138">
        <v>5200000</v>
      </c>
      <c r="G40" s="138" t="s">
        <v>511</v>
      </c>
      <c r="H40" s="138"/>
      <c r="I40" s="138">
        <v>100000</v>
      </c>
      <c r="J40" s="137">
        <v>50</v>
      </c>
      <c r="K40" s="138">
        <f t="shared" si="2"/>
        <v>5000000</v>
      </c>
    </row>
    <row r="41" spans="1:11" ht="15.75">
      <c r="A41" s="135">
        <v>3</v>
      </c>
      <c r="B41" s="136" t="s">
        <v>512</v>
      </c>
      <c r="C41" s="137"/>
      <c r="D41" s="138"/>
      <c r="E41" s="138">
        <v>1</v>
      </c>
      <c r="F41" s="138">
        <v>134400000</v>
      </c>
      <c r="G41" s="138"/>
      <c r="H41" s="138"/>
      <c r="I41" s="138"/>
      <c r="J41" s="137">
        <v>1</v>
      </c>
      <c r="K41" s="138">
        <f>SUBTOTAL(9,K42:K53)</f>
        <v>79950000</v>
      </c>
    </row>
    <row r="42" spans="1:11" ht="15.75">
      <c r="A42" s="135" t="s">
        <v>513</v>
      </c>
      <c r="B42" s="136" t="s">
        <v>514</v>
      </c>
      <c r="C42" s="137" t="s">
        <v>499</v>
      </c>
      <c r="D42" s="138">
        <v>2000000</v>
      </c>
      <c r="E42" s="138">
        <v>1</v>
      </c>
      <c r="F42" s="138">
        <v>2000000</v>
      </c>
      <c r="G42" s="138" t="s">
        <v>515</v>
      </c>
      <c r="H42" s="138"/>
      <c r="I42" s="138">
        <v>1500000</v>
      </c>
      <c r="J42" s="137">
        <v>1</v>
      </c>
      <c r="K42" s="138">
        <f t="shared" si="2"/>
        <v>1500000</v>
      </c>
    </row>
    <row r="43" spans="1:11" ht="15.75">
      <c r="A43" s="135" t="s">
        <v>516</v>
      </c>
      <c r="B43" s="136" t="s">
        <v>430</v>
      </c>
      <c r="C43" s="137" t="s">
        <v>499</v>
      </c>
      <c r="D43" s="138">
        <v>1000000</v>
      </c>
      <c r="E43" s="138">
        <v>1</v>
      </c>
      <c r="F43" s="138">
        <v>1000000</v>
      </c>
      <c r="G43" s="138" t="s">
        <v>515</v>
      </c>
      <c r="H43" s="138"/>
      <c r="I43" s="138">
        <v>300000</v>
      </c>
      <c r="J43" s="137">
        <v>1</v>
      </c>
      <c r="K43" s="138">
        <f t="shared" si="2"/>
        <v>300000</v>
      </c>
    </row>
    <row r="44" spans="1:11" ht="15.75">
      <c r="A44" s="135" t="s">
        <v>517</v>
      </c>
      <c r="B44" s="136" t="s">
        <v>518</v>
      </c>
      <c r="C44" s="137" t="s">
        <v>499</v>
      </c>
      <c r="D44" s="138">
        <v>2000000</v>
      </c>
      <c r="E44" s="138">
        <v>60</v>
      </c>
      <c r="F44" s="138">
        <v>120000000</v>
      </c>
      <c r="G44" s="138" t="s">
        <v>515</v>
      </c>
      <c r="H44" s="138"/>
      <c r="I44" s="138">
        <v>1000000</v>
      </c>
      <c r="J44" s="137">
        <v>18</v>
      </c>
      <c r="K44" s="138">
        <f t="shared" si="2"/>
        <v>18000000</v>
      </c>
    </row>
    <row r="45" spans="1:11" ht="15.75">
      <c r="A45" s="135" t="s">
        <v>519</v>
      </c>
      <c r="B45" s="136" t="s">
        <v>520</v>
      </c>
      <c r="C45" s="137" t="s">
        <v>499</v>
      </c>
      <c r="D45" s="138"/>
      <c r="E45" s="138"/>
      <c r="F45" s="138"/>
      <c r="G45" s="138"/>
      <c r="H45" s="138"/>
      <c r="I45" s="138">
        <v>500000</v>
      </c>
      <c r="J45" s="137">
        <v>18</v>
      </c>
      <c r="K45" s="138">
        <f t="shared" si="2"/>
        <v>9000000</v>
      </c>
    </row>
    <row r="46" spans="1:11" ht="15.75">
      <c r="A46" s="135" t="s">
        <v>521</v>
      </c>
      <c r="B46" s="136" t="s">
        <v>522</v>
      </c>
      <c r="C46" s="137" t="s">
        <v>499</v>
      </c>
      <c r="D46" s="138"/>
      <c r="E46" s="138"/>
      <c r="F46" s="138"/>
      <c r="G46" s="138"/>
      <c r="H46" s="138"/>
      <c r="I46" s="138">
        <v>1000000</v>
      </c>
      <c r="J46" s="137">
        <v>2</v>
      </c>
      <c r="K46" s="138">
        <f t="shared" si="2"/>
        <v>2000000</v>
      </c>
    </row>
    <row r="47" spans="1:11" ht="15.75">
      <c r="A47" s="135" t="s">
        <v>523</v>
      </c>
      <c r="B47" s="136" t="s">
        <v>431</v>
      </c>
      <c r="C47" s="137" t="s">
        <v>499</v>
      </c>
      <c r="D47" s="138"/>
      <c r="E47" s="138"/>
      <c r="F47" s="138"/>
      <c r="G47" s="138"/>
      <c r="H47" s="138"/>
      <c r="I47" s="138">
        <v>700000</v>
      </c>
      <c r="J47" s="137">
        <v>2</v>
      </c>
      <c r="K47" s="138">
        <f t="shared" si="2"/>
        <v>1400000</v>
      </c>
    </row>
    <row r="48" spans="1:11" ht="15.75">
      <c r="A48" s="135" t="s">
        <v>524</v>
      </c>
      <c r="B48" s="136" t="s">
        <v>432</v>
      </c>
      <c r="C48" s="137" t="s">
        <v>499</v>
      </c>
      <c r="D48" s="138"/>
      <c r="E48" s="138"/>
      <c r="F48" s="138"/>
      <c r="G48" s="138"/>
      <c r="H48" s="138"/>
      <c r="I48" s="138">
        <v>200000</v>
      </c>
      <c r="J48" s="137">
        <v>32</v>
      </c>
      <c r="K48" s="138">
        <f t="shared" si="2"/>
        <v>6400000</v>
      </c>
    </row>
    <row r="49" spans="1:11" ht="15.75" customHeight="1">
      <c r="A49" s="135" t="s">
        <v>525</v>
      </c>
      <c r="B49" s="136" t="s">
        <v>507</v>
      </c>
      <c r="C49" s="137" t="s">
        <v>499</v>
      </c>
      <c r="D49" s="138">
        <v>40000</v>
      </c>
      <c r="E49" s="138">
        <v>60</v>
      </c>
      <c r="F49" s="138">
        <v>2400000</v>
      </c>
      <c r="G49" s="138" t="s">
        <v>508</v>
      </c>
      <c r="H49" s="138"/>
      <c r="I49" s="138">
        <v>40000</v>
      </c>
      <c r="J49" s="137">
        <v>50</v>
      </c>
      <c r="K49" s="138">
        <f t="shared" si="2"/>
        <v>2000000</v>
      </c>
    </row>
    <row r="50" spans="1:11" ht="18.75" customHeight="1">
      <c r="A50" s="135" t="s">
        <v>526</v>
      </c>
      <c r="B50" s="136" t="s">
        <v>509</v>
      </c>
      <c r="C50" s="137" t="s">
        <v>510</v>
      </c>
      <c r="D50" s="138">
        <v>150000</v>
      </c>
      <c r="E50" s="138">
        <v>60</v>
      </c>
      <c r="F50" s="138">
        <v>9000000</v>
      </c>
      <c r="G50" s="138" t="s">
        <v>511</v>
      </c>
      <c r="H50" s="138"/>
      <c r="I50" s="138">
        <v>100000</v>
      </c>
      <c r="J50" s="137">
        <v>50</v>
      </c>
      <c r="K50" s="138">
        <f>I50*J50</f>
        <v>5000000</v>
      </c>
    </row>
    <row r="51" spans="1:11" ht="18.75" customHeight="1">
      <c r="A51" s="135" t="s">
        <v>527</v>
      </c>
      <c r="B51" s="136" t="s">
        <v>528</v>
      </c>
      <c r="C51" s="137" t="s">
        <v>499</v>
      </c>
      <c r="D51" s="138"/>
      <c r="E51" s="138"/>
      <c r="F51" s="138"/>
      <c r="G51" s="138"/>
      <c r="H51" s="138"/>
      <c r="I51" s="138">
        <v>5000000</v>
      </c>
      <c r="J51" s="137">
        <v>6</v>
      </c>
      <c r="K51" s="138">
        <f>I51*J51</f>
        <v>30000000</v>
      </c>
    </row>
    <row r="52" spans="1:11" ht="18.75" customHeight="1">
      <c r="A52" s="135" t="s">
        <v>529</v>
      </c>
      <c r="B52" s="136" t="s">
        <v>530</v>
      </c>
      <c r="C52" s="137" t="s">
        <v>499</v>
      </c>
      <c r="D52" s="138"/>
      <c r="E52" s="138"/>
      <c r="F52" s="138"/>
      <c r="G52" s="138"/>
      <c r="H52" s="138"/>
      <c r="I52" s="138">
        <v>450000</v>
      </c>
      <c r="J52" s="137">
        <v>6</v>
      </c>
      <c r="K52" s="138">
        <f>I52*J52</f>
        <v>2700000</v>
      </c>
    </row>
    <row r="53" spans="1:11" ht="18.75" customHeight="1">
      <c r="A53" s="135" t="s">
        <v>557</v>
      </c>
      <c r="B53" s="136" t="s">
        <v>556</v>
      </c>
      <c r="C53" s="137"/>
      <c r="D53" s="138"/>
      <c r="E53" s="138"/>
      <c r="F53" s="138"/>
      <c r="G53" s="138"/>
      <c r="H53" s="138"/>
      <c r="I53" s="138"/>
      <c r="J53" s="137"/>
      <c r="K53" s="138">
        <v>1650000</v>
      </c>
    </row>
    <row r="54" spans="1:11" ht="19.5" thickBot="1">
      <c r="A54" s="139"/>
      <c r="B54" s="140" t="s">
        <v>531</v>
      </c>
      <c r="C54" s="141"/>
      <c r="D54" s="141"/>
      <c r="E54" s="141"/>
      <c r="F54" s="141"/>
      <c r="G54" s="141"/>
      <c r="H54" s="141"/>
      <c r="I54" s="141"/>
      <c r="J54" s="141"/>
      <c r="K54" s="142">
        <f>K26+K10</f>
        <v>623550000</v>
      </c>
    </row>
    <row r="56" ht="15.75">
      <c r="A56" s="41" t="s">
        <v>297</v>
      </c>
    </row>
    <row r="57" spans="2:11" ht="95.25" customHeight="1">
      <c r="B57" s="360" t="s">
        <v>400</v>
      </c>
      <c r="C57" s="360"/>
      <c r="D57" s="360"/>
      <c r="E57" s="360"/>
      <c r="F57" s="360"/>
      <c r="G57" s="360"/>
      <c r="H57" s="360"/>
      <c r="I57" s="360"/>
      <c r="J57" s="360"/>
      <c r="K57" s="360"/>
    </row>
  </sheetData>
  <sheetProtection/>
  <mergeCells count="3">
    <mergeCell ref="A1:B1"/>
    <mergeCell ref="A2:K2"/>
    <mergeCell ref="B57:K57"/>
  </mergeCells>
  <printOptions/>
  <pageMargins left="0.29" right="0.16"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56"/>
  <sheetViews>
    <sheetView zoomScalePageLayoutView="0" workbookViewId="0" topLeftCell="A15">
      <selection activeCell="B56" sqref="B56:K56"/>
    </sheetView>
  </sheetViews>
  <sheetFormatPr defaultColWidth="9.140625" defaultRowHeight="15"/>
  <cols>
    <col min="1" max="1" width="6.140625" style="32" customWidth="1"/>
    <col min="2" max="2" width="60.00390625" style="32" customWidth="1"/>
    <col min="3" max="3" width="17.421875" style="32" customWidth="1"/>
    <col min="4" max="4" width="14.421875" style="32" hidden="1" customWidth="1"/>
    <col min="5" max="5" width="12.00390625" style="32" hidden="1" customWidth="1"/>
    <col min="6" max="6" width="11.57421875" style="32" hidden="1" customWidth="1"/>
    <col min="7" max="7" width="17.421875" style="32" hidden="1" customWidth="1"/>
    <col min="8" max="8" width="17.421875" style="32" customWidth="1"/>
    <col min="9" max="9" width="11.57421875" style="32" customWidth="1"/>
    <col min="10" max="10" width="15.421875" style="32" customWidth="1"/>
    <col min="11" max="11" width="18.7109375" style="148" customWidth="1"/>
    <col min="12" max="12" width="17.7109375" style="32" customWidth="1"/>
    <col min="13" max="13" width="18.7109375" style="32" customWidth="1"/>
    <col min="14" max="14" width="16.28125" style="32" customWidth="1"/>
    <col min="15" max="15" width="12.140625" style="32" customWidth="1"/>
    <col min="16" max="17" width="9.140625" style="32" customWidth="1"/>
    <col min="18" max="18" width="16.8515625" style="32" bestFit="1" customWidth="1"/>
    <col min="19" max="16384" width="9.140625" style="32" customWidth="1"/>
  </cols>
  <sheetData>
    <row r="1" spans="1:2" ht="15.75">
      <c r="A1" s="357"/>
      <c r="B1" s="357"/>
    </row>
    <row r="2" spans="1:11" ht="42" customHeight="1">
      <c r="A2" s="358" t="s">
        <v>532</v>
      </c>
      <c r="B2" s="359"/>
      <c r="C2" s="359"/>
      <c r="D2" s="359"/>
      <c r="E2" s="359"/>
      <c r="F2" s="359"/>
      <c r="G2" s="359"/>
      <c r="H2" s="359"/>
      <c r="I2" s="359"/>
      <c r="J2" s="359"/>
      <c r="K2" s="359"/>
    </row>
    <row r="3" spans="1:11" ht="10.5" customHeight="1">
      <c r="A3" s="208"/>
      <c r="B3" s="209"/>
      <c r="C3" s="209"/>
      <c r="D3" s="209"/>
      <c r="E3" s="209"/>
      <c r="F3" s="209"/>
      <c r="G3" s="209"/>
      <c r="H3" s="209"/>
      <c r="I3" s="209"/>
      <c r="J3" s="209"/>
      <c r="K3" s="209"/>
    </row>
    <row r="4" ht="18" customHeight="1" thickBot="1">
      <c r="K4" s="145" t="s">
        <v>533</v>
      </c>
    </row>
    <row r="5" spans="9:11" ht="16.5" hidden="1" thickBot="1">
      <c r="I5" s="146" t="s">
        <v>296</v>
      </c>
      <c r="J5" s="147">
        <v>40000000</v>
      </c>
      <c r="K5" s="32"/>
    </row>
    <row r="6" spans="9:11" ht="16.5" hidden="1" thickBot="1">
      <c r="I6" s="146" t="s">
        <v>295</v>
      </c>
      <c r="J6" s="147">
        <v>30000000</v>
      </c>
      <c r="K6" s="32"/>
    </row>
    <row r="7" spans="9:11" ht="16.5" hidden="1" thickBot="1">
      <c r="I7" s="146" t="s">
        <v>484</v>
      </c>
      <c r="J7" s="147">
        <v>20000000</v>
      </c>
      <c r="K7" s="32"/>
    </row>
    <row r="8" spans="9:11" ht="16.5" hidden="1" thickBot="1">
      <c r="I8" s="146" t="s">
        <v>495</v>
      </c>
      <c r="J8" s="147">
        <v>15000000</v>
      </c>
      <c r="K8" s="32"/>
    </row>
    <row r="9" spans="1:13" ht="47.25">
      <c r="A9" s="125" t="s">
        <v>482</v>
      </c>
      <c r="B9" s="126" t="s">
        <v>320</v>
      </c>
      <c r="C9" s="126" t="s">
        <v>483</v>
      </c>
      <c r="D9" s="127" t="s">
        <v>296</v>
      </c>
      <c r="E9" s="127" t="s">
        <v>295</v>
      </c>
      <c r="F9" s="127" t="s">
        <v>484</v>
      </c>
      <c r="G9" s="127" t="s">
        <v>485</v>
      </c>
      <c r="H9" s="127" t="s">
        <v>486</v>
      </c>
      <c r="I9" s="127" t="s">
        <v>299</v>
      </c>
      <c r="J9" s="126" t="s">
        <v>487</v>
      </c>
      <c r="K9" s="127" t="s">
        <v>605</v>
      </c>
      <c r="L9" s="126" t="s">
        <v>606</v>
      </c>
      <c r="M9" s="126" t="s">
        <v>607</v>
      </c>
    </row>
    <row r="10" spans="1:13" s="149" customFormat="1" ht="15.75">
      <c r="A10" s="128" t="s">
        <v>0</v>
      </c>
      <c r="B10" s="72" t="s">
        <v>489</v>
      </c>
      <c r="C10" s="72"/>
      <c r="D10" s="129"/>
      <c r="E10" s="129"/>
      <c r="F10" s="129"/>
      <c r="G10" s="70"/>
      <c r="H10" s="70"/>
      <c r="I10" s="70"/>
      <c r="J10" s="130"/>
      <c r="K10" s="131">
        <f>K11</f>
        <v>383500000</v>
      </c>
      <c r="L10" s="268">
        <f>L11</f>
        <v>38350000</v>
      </c>
      <c r="M10" s="268">
        <f>M11</f>
        <v>421850000</v>
      </c>
    </row>
    <row r="11" spans="1:14" s="149" customFormat="1" ht="15.75">
      <c r="A11" s="128"/>
      <c r="B11" s="72" t="s">
        <v>608</v>
      </c>
      <c r="C11" s="72"/>
      <c r="D11" s="129"/>
      <c r="E11" s="129"/>
      <c r="F11" s="129"/>
      <c r="G11" s="70"/>
      <c r="H11" s="70"/>
      <c r="I11" s="70"/>
      <c r="J11" s="130">
        <f>J12+J13+J23+J24</f>
        <v>288</v>
      </c>
      <c r="K11" s="131">
        <f>K12+K13+K23+K24</f>
        <v>383500000</v>
      </c>
      <c r="L11" s="267">
        <f aca="true" t="shared" si="0" ref="L11:L24">K11*0.1</f>
        <v>38350000</v>
      </c>
      <c r="M11" s="267">
        <f aca="true" t="shared" si="1" ref="M11:M24">K11+L11</f>
        <v>421850000</v>
      </c>
      <c r="N11" s="266"/>
    </row>
    <row r="12" spans="1:13" ht="31.5">
      <c r="A12" s="264">
        <v>1</v>
      </c>
      <c r="B12" s="263" t="s">
        <v>491</v>
      </c>
      <c r="C12" s="262" t="s">
        <v>1</v>
      </c>
      <c r="D12" s="261" t="e">
        <f>($J$13/$J$12)*#REF!</f>
        <v>#REF!</v>
      </c>
      <c r="E12" s="261" t="e">
        <f>($J$13/$J$12)*#REF!</f>
        <v>#REF!</v>
      </c>
      <c r="F12" s="261" t="e">
        <f>($J$13/$J$12)*#REF!</f>
        <v>#REF!</v>
      </c>
      <c r="G12" s="261" t="e">
        <f>($J$13/$J$12)*#REF!</f>
        <v>#REF!</v>
      </c>
      <c r="H12" s="261" t="s">
        <v>295</v>
      </c>
      <c r="I12" s="261">
        <f>J6/26*1.3</f>
        <v>1500000</v>
      </c>
      <c r="J12" s="262">
        <v>30</v>
      </c>
      <c r="K12" s="261">
        <f>I12*J12</f>
        <v>45000000</v>
      </c>
      <c r="L12" s="260">
        <f t="shared" si="0"/>
        <v>4500000</v>
      </c>
      <c r="M12" s="260">
        <f t="shared" si="1"/>
        <v>49500000</v>
      </c>
    </row>
    <row r="13" spans="1:13" s="253" customFormat="1" ht="15.75">
      <c r="A13" s="264">
        <v>2</v>
      </c>
      <c r="B13" s="263" t="s">
        <v>476</v>
      </c>
      <c r="C13" s="262"/>
      <c r="D13" s="261" t="e">
        <f>$J$14/$J$12*#REF!</f>
        <v>#REF!</v>
      </c>
      <c r="E13" s="261" t="e">
        <f>$J$14/$J$12*#REF!</f>
        <v>#REF!</v>
      </c>
      <c r="F13" s="261" t="e">
        <f>$J$14/$J$12*#REF!</f>
        <v>#REF!</v>
      </c>
      <c r="G13" s="261" t="e">
        <f>$J$14/$J$12*#REF!</f>
        <v>#REF!</v>
      </c>
      <c r="H13" s="261"/>
      <c r="I13" s="261"/>
      <c r="J13" s="262">
        <f>SUM(J15:J24)</f>
        <v>214</v>
      </c>
      <c r="K13" s="261">
        <f>SUM(K15:K22)</f>
        <v>288000000</v>
      </c>
      <c r="L13" s="260">
        <f t="shared" si="0"/>
        <v>28800000</v>
      </c>
      <c r="M13" s="260">
        <f t="shared" si="1"/>
        <v>316800000</v>
      </c>
    </row>
    <row r="14" spans="1:13" ht="15.75">
      <c r="A14" s="132" t="s">
        <v>2</v>
      </c>
      <c r="B14" s="211" t="s">
        <v>492</v>
      </c>
      <c r="C14" s="212"/>
      <c r="D14" s="64"/>
      <c r="E14" s="64"/>
      <c r="F14" s="64"/>
      <c r="G14" s="64"/>
      <c r="H14" s="64"/>
      <c r="I14" s="64"/>
      <c r="J14" s="212"/>
      <c r="K14" s="64">
        <f>SUM(K15:K20)</f>
        <v>248000000</v>
      </c>
      <c r="L14" s="265">
        <f t="shared" si="0"/>
        <v>24800000</v>
      </c>
      <c r="M14" s="265">
        <f t="shared" si="1"/>
        <v>272800000</v>
      </c>
    </row>
    <row r="15" spans="1:13" ht="15.75">
      <c r="A15" s="132" t="s">
        <v>3</v>
      </c>
      <c r="B15" s="211" t="s">
        <v>275</v>
      </c>
      <c r="C15" s="212" t="s">
        <v>4</v>
      </c>
      <c r="D15" s="64"/>
      <c r="E15" s="64"/>
      <c r="F15" s="64"/>
      <c r="G15" s="64"/>
      <c r="H15" s="64" t="s">
        <v>484</v>
      </c>
      <c r="I15" s="64">
        <f>J7/26*1.3</f>
        <v>1000000</v>
      </c>
      <c r="J15" s="212">
        <v>7</v>
      </c>
      <c r="K15" s="64">
        <f aca="true" t="shared" si="2" ref="K15:K22">I15*J15</f>
        <v>7000000</v>
      </c>
      <c r="L15" s="265">
        <f t="shared" si="0"/>
        <v>700000</v>
      </c>
      <c r="M15" s="265">
        <f t="shared" si="1"/>
        <v>7700000</v>
      </c>
    </row>
    <row r="16" spans="1:13" ht="15.75">
      <c r="A16" s="132" t="s">
        <v>5</v>
      </c>
      <c r="B16" s="211" t="s">
        <v>277</v>
      </c>
      <c r="C16" s="212" t="s">
        <v>6</v>
      </c>
      <c r="D16" s="64"/>
      <c r="E16" s="64"/>
      <c r="F16" s="64"/>
      <c r="G16" s="64"/>
      <c r="H16" s="64" t="s">
        <v>296</v>
      </c>
      <c r="I16" s="64">
        <f>$J$5/26*1.3</f>
        <v>2000000</v>
      </c>
      <c r="J16" s="212">
        <v>25</v>
      </c>
      <c r="K16" s="64">
        <f t="shared" si="2"/>
        <v>50000000</v>
      </c>
      <c r="L16" s="265">
        <f t="shared" si="0"/>
        <v>5000000</v>
      </c>
      <c r="M16" s="265">
        <f t="shared" si="1"/>
        <v>55000000</v>
      </c>
    </row>
    <row r="17" spans="1:13" ht="15.75">
      <c r="A17" s="132" t="s">
        <v>289</v>
      </c>
      <c r="B17" s="211" t="s">
        <v>279</v>
      </c>
      <c r="C17" s="212" t="s">
        <v>6</v>
      </c>
      <c r="D17" s="64"/>
      <c r="E17" s="64"/>
      <c r="F17" s="64"/>
      <c r="G17" s="64"/>
      <c r="H17" s="64" t="s">
        <v>296</v>
      </c>
      <c r="I17" s="64">
        <f>$J$5/26*1.3</f>
        <v>2000000</v>
      </c>
      <c r="J17" s="212">
        <v>35</v>
      </c>
      <c r="K17" s="64">
        <f t="shared" si="2"/>
        <v>70000000</v>
      </c>
      <c r="L17" s="265">
        <f t="shared" si="0"/>
        <v>7000000</v>
      </c>
      <c r="M17" s="265">
        <f t="shared" si="1"/>
        <v>77000000</v>
      </c>
    </row>
    <row r="18" spans="1:13" ht="31.5">
      <c r="A18" s="132" t="s">
        <v>291</v>
      </c>
      <c r="B18" s="211" t="s">
        <v>493</v>
      </c>
      <c r="C18" s="212" t="s">
        <v>1</v>
      </c>
      <c r="D18" s="64"/>
      <c r="E18" s="64"/>
      <c r="F18" s="64"/>
      <c r="G18" s="64"/>
      <c r="H18" s="64" t="s">
        <v>296</v>
      </c>
      <c r="I18" s="64">
        <f>$J$5/26*1.3</f>
        <v>2000000</v>
      </c>
      <c r="J18" s="212">
        <v>50</v>
      </c>
      <c r="K18" s="64">
        <f t="shared" si="2"/>
        <v>100000000</v>
      </c>
      <c r="L18" s="265">
        <f t="shared" si="0"/>
        <v>10000000</v>
      </c>
      <c r="M18" s="265">
        <f t="shared" si="1"/>
        <v>110000000</v>
      </c>
    </row>
    <row r="19" spans="1:13" ht="15.75">
      <c r="A19" s="132" t="s">
        <v>290</v>
      </c>
      <c r="B19" s="211" t="s">
        <v>282</v>
      </c>
      <c r="C19" s="212" t="s">
        <v>6</v>
      </c>
      <c r="D19" s="64"/>
      <c r="E19" s="64"/>
      <c r="F19" s="64"/>
      <c r="G19" s="64"/>
      <c r="H19" s="64" t="s">
        <v>296</v>
      </c>
      <c r="I19" s="64">
        <f>$J$5/26*1.3</f>
        <v>2000000</v>
      </c>
      <c r="J19" s="212">
        <v>8</v>
      </c>
      <c r="K19" s="64">
        <f t="shared" si="2"/>
        <v>16000000</v>
      </c>
      <c r="L19" s="265">
        <f t="shared" si="0"/>
        <v>1600000</v>
      </c>
      <c r="M19" s="265">
        <f t="shared" si="1"/>
        <v>17600000</v>
      </c>
    </row>
    <row r="20" spans="1:13" ht="31.5">
      <c r="A20" s="132" t="s">
        <v>292</v>
      </c>
      <c r="B20" s="211" t="s">
        <v>283</v>
      </c>
      <c r="C20" s="212" t="s">
        <v>1</v>
      </c>
      <c r="D20" s="64"/>
      <c r="E20" s="64"/>
      <c r="F20" s="64"/>
      <c r="G20" s="64"/>
      <c r="H20" s="64" t="s">
        <v>484</v>
      </c>
      <c r="I20" s="64">
        <f>$J$7/26*1.3</f>
        <v>1000000</v>
      </c>
      <c r="J20" s="212">
        <v>5</v>
      </c>
      <c r="K20" s="64">
        <f t="shared" si="2"/>
        <v>5000000</v>
      </c>
      <c r="L20" s="265">
        <f t="shared" si="0"/>
        <v>500000</v>
      </c>
      <c r="M20" s="265">
        <f t="shared" si="1"/>
        <v>5500000</v>
      </c>
    </row>
    <row r="21" spans="1:13" ht="31.5">
      <c r="A21" s="132" t="s">
        <v>7</v>
      </c>
      <c r="B21" s="211" t="s">
        <v>284</v>
      </c>
      <c r="C21" s="212" t="s">
        <v>8</v>
      </c>
      <c r="D21" s="64"/>
      <c r="E21" s="64"/>
      <c r="F21" s="64"/>
      <c r="G21" s="64"/>
      <c r="H21" s="64" t="s">
        <v>484</v>
      </c>
      <c r="I21" s="64">
        <f>I15</f>
        <v>1000000</v>
      </c>
      <c r="J21" s="212">
        <v>15</v>
      </c>
      <c r="K21" s="64">
        <f t="shared" si="2"/>
        <v>15000000</v>
      </c>
      <c r="L21" s="265">
        <f t="shared" si="0"/>
        <v>1500000</v>
      </c>
      <c r="M21" s="265">
        <f t="shared" si="1"/>
        <v>16500000</v>
      </c>
    </row>
    <row r="22" spans="1:13" ht="15.75">
      <c r="A22" s="132" t="s">
        <v>9</v>
      </c>
      <c r="B22" s="211" t="s">
        <v>285</v>
      </c>
      <c r="C22" s="212" t="s">
        <v>6</v>
      </c>
      <c r="D22" s="64"/>
      <c r="E22" s="64"/>
      <c r="F22" s="64"/>
      <c r="G22" s="64"/>
      <c r="H22" s="64" t="s">
        <v>484</v>
      </c>
      <c r="I22" s="64">
        <f>I21</f>
        <v>1000000</v>
      </c>
      <c r="J22" s="212">
        <v>25</v>
      </c>
      <c r="K22" s="64">
        <f t="shared" si="2"/>
        <v>25000000</v>
      </c>
      <c r="L22" s="265">
        <f t="shared" si="0"/>
        <v>2500000</v>
      </c>
      <c r="M22" s="265">
        <f t="shared" si="1"/>
        <v>27500000</v>
      </c>
    </row>
    <row r="23" spans="1:13" s="253" customFormat="1" ht="21.75" customHeight="1">
      <c r="A23" s="264">
        <v>3</v>
      </c>
      <c r="B23" s="263" t="s">
        <v>494</v>
      </c>
      <c r="C23" s="262" t="s">
        <v>293</v>
      </c>
      <c r="D23" s="261" t="e">
        <f>#REF!/$J$12*#REF!</f>
        <v>#REF!</v>
      </c>
      <c r="E23" s="261" t="e">
        <f>#REF!/$J$12*#REF!</f>
        <v>#REF!</v>
      </c>
      <c r="F23" s="261" t="e">
        <f>#REF!/$J$12*#REF!</f>
        <v>#REF!</v>
      </c>
      <c r="G23" s="261"/>
      <c r="H23" s="261" t="s">
        <v>495</v>
      </c>
      <c r="I23" s="261">
        <f>J8/26*1.3</f>
        <v>750000</v>
      </c>
      <c r="J23" s="262">
        <v>30</v>
      </c>
      <c r="K23" s="261">
        <f>J23*I23</f>
        <v>22500000</v>
      </c>
      <c r="L23" s="260">
        <f t="shared" si="0"/>
        <v>2250000</v>
      </c>
      <c r="M23" s="260">
        <f t="shared" si="1"/>
        <v>24750000</v>
      </c>
    </row>
    <row r="24" spans="1:13" s="253" customFormat="1" ht="21" customHeight="1">
      <c r="A24" s="264">
        <v>4</v>
      </c>
      <c r="B24" s="263" t="s">
        <v>286</v>
      </c>
      <c r="C24" s="262" t="s">
        <v>294</v>
      </c>
      <c r="D24" s="261" t="e">
        <f>#REF!/$J$12*#REF!</f>
        <v>#REF!</v>
      </c>
      <c r="E24" s="261" t="e">
        <f>#REF!/$J$12*#REF!</f>
        <v>#REF!</v>
      </c>
      <c r="F24" s="261" t="e">
        <f>#REF!/$J$12*#REF!</f>
        <v>#REF!</v>
      </c>
      <c r="G24" s="261"/>
      <c r="H24" s="261" t="s">
        <v>296</v>
      </c>
      <c r="I24" s="261">
        <f>I16</f>
        <v>2000000</v>
      </c>
      <c r="J24" s="262">
        <v>14</v>
      </c>
      <c r="K24" s="261">
        <f>J24*I24</f>
        <v>28000000</v>
      </c>
      <c r="L24" s="260">
        <f t="shared" si="0"/>
        <v>2800000</v>
      </c>
      <c r="M24" s="260">
        <f t="shared" si="1"/>
        <v>30800000</v>
      </c>
    </row>
    <row r="25" spans="1:18" s="151" customFormat="1" ht="15.75">
      <c r="A25" s="134" t="s">
        <v>10</v>
      </c>
      <c r="B25" s="213" t="s">
        <v>497</v>
      </c>
      <c r="C25" s="210"/>
      <c r="D25" s="133"/>
      <c r="E25" s="133"/>
      <c r="F25" s="133"/>
      <c r="G25" s="133"/>
      <c r="H25" s="133"/>
      <c r="I25" s="133"/>
      <c r="J25" s="210"/>
      <c r="K25" s="133">
        <f>SUBTOTAL(9,K26:K52)</f>
        <v>201700000</v>
      </c>
      <c r="L25" s="252"/>
      <c r="M25" s="252">
        <v>201700000</v>
      </c>
      <c r="R25" s="206">
        <v>201700000</v>
      </c>
    </row>
    <row r="26" spans="1:14" s="253" customFormat="1" ht="15.75">
      <c r="A26" s="258">
        <v>1</v>
      </c>
      <c r="B26" s="257" t="s">
        <v>498</v>
      </c>
      <c r="C26" s="256"/>
      <c r="D26" s="255"/>
      <c r="E26" s="255"/>
      <c r="F26" s="255"/>
      <c r="G26" s="255"/>
      <c r="H26" s="255"/>
      <c r="I26" s="255"/>
      <c r="J26" s="256"/>
      <c r="K26" s="255">
        <f>SUBTOTAL(9,K27:K36)</f>
        <v>114750000</v>
      </c>
      <c r="L26" s="254"/>
      <c r="M26" s="254">
        <v>114750000</v>
      </c>
      <c r="N26" s="259"/>
    </row>
    <row r="27" spans="1:14" s="151" customFormat="1" ht="15.75">
      <c r="A27" s="135" t="s">
        <v>376</v>
      </c>
      <c r="B27" s="136" t="s">
        <v>310</v>
      </c>
      <c r="C27" s="137" t="s">
        <v>499</v>
      </c>
      <c r="D27" s="138"/>
      <c r="E27" s="138"/>
      <c r="F27" s="138"/>
      <c r="G27" s="138"/>
      <c r="H27" s="138"/>
      <c r="I27" s="138">
        <v>1500000</v>
      </c>
      <c r="J27" s="137">
        <v>1</v>
      </c>
      <c r="K27" s="138">
        <f>I27*J27</f>
        <v>1500000</v>
      </c>
      <c r="L27" s="252"/>
      <c r="M27" s="75">
        <v>1500000</v>
      </c>
      <c r="N27" s="206"/>
    </row>
    <row r="28" spans="1:14" s="151" customFormat="1" ht="15.75">
      <c r="A28" s="135" t="s">
        <v>377</v>
      </c>
      <c r="B28" s="136" t="s">
        <v>215</v>
      </c>
      <c r="C28" s="137" t="s">
        <v>499</v>
      </c>
      <c r="D28" s="138"/>
      <c r="E28" s="138"/>
      <c r="F28" s="138"/>
      <c r="G28" s="138"/>
      <c r="H28" s="138"/>
      <c r="I28" s="138">
        <v>500000</v>
      </c>
      <c r="J28" s="137">
        <v>2</v>
      </c>
      <c r="K28" s="138">
        <f>I28*J28</f>
        <v>1000000</v>
      </c>
      <c r="L28" s="252"/>
      <c r="M28" s="75">
        <v>1000000</v>
      </c>
      <c r="N28" s="206"/>
    </row>
    <row r="29" spans="1:14" s="151" customFormat="1" ht="15.75">
      <c r="A29" s="135" t="s">
        <v>378</v>
      </c>
      <c r="B29" s="136" t="s">
        <v>500</v>
      </c>
      <c r="C29" s="137" t="s">
        <v>500</v>
      </c>
      <c r="D29" s="138"/>
      <c r="E29" s="138"/>
      <c r="F29" s="138"/>
      <c r="G29" s="138"/>
      <c r="H29" s="138"/>
      <c r="I29" s="138">
        <v>2000000</v>
      </c>
      <c r="J29" s="137">
        <v>12</v>
      </c>
      <c r="K29" s="138">
        <f>I29*J29</f>
        <v>24000000</v>
      </c>
      <c r="L29" s="252"/>
      <c r="M29" s="75">
        <v>24000000</v>
      </c>
      <c r="N29" s="206"/>
    </row>
    <row r="30" spans="1:14" s="151" customFormat="1" ht="15.75">
      <c r="A30" s="135" t="s">
        <v>379</v>
      </c>
      <c r="B30" s="136" t="s">
        <v>552</v>
      </c>
      <c r="C30" s="137" t="s">
        <v>501</v>
      </c>
      <c r="D30" s="138"/>
      <c r="E30" s="138"/>
      <c r="F30" s="138"/>
      <c r="G30" s="138"/>
      <c r="H30" s="138"/>
      <c r="I30" s="138">
        <v>8000000</v>
      </c>
      <c r="J30" s="137">
        <v>1</v>
      </c>
      <c r="K30" s="138">
        <v>8000000</v>
      </c>
      <c r="L30" s="252"/>
      <c r="M30" s="75">
        <v>8000000</v>
      </c>
      <c r="N30" s="206"/>
    </row>
    <row r="31" spans="1:14" s="151" customFormat="1" ht="15.75">
      <c r="A31" s="135" t="s">
        <v>380</v>
      </c>
      <c r="B31" s="136" t="s">
        <v>553</v>
      </c>
      <c r="C31" s="137" t="s">
        <v>499</v>
      </c>
      <c r="D31" s="138"/>
      <c r="E31" s="138"/>
      <c r="F31" s="138"/>
      <c r="G31" s="138"/>
      <c r="H31" s="138"/>
      <c r="I31" s="138">
        <v>40000</v>
      </c>
      <c r="J31" s="137">
        <v>150</v>
      </c>
      <c r="K31" s="138">
        <f aca="true" t="shared" si="3" ref="K31:K36">I31*J31</f>
        <v>6000000</v>
      </c>
      <c r="L31" s="252"/>
      <c r="M31" s="75">
        <v>6000000</v>
      </c>
      <c r="N31" s="206"/>
    </row>
    <row r="32" spans="1:14" s="151" customFormat="1" ht="15.75">
      <c r="A32" s="135" t="s">
        <v>381</v>
      </c>
      <c r="B32" s="136" t="s">
        <v>554</v>
      </c>
      <c r="C32" s="137" t="s">
        <v>499</v>
      </c>
      <c r="D32" s="138"/>
      <c r="E32" s="138"/>
      <c r="F32" s="138"/>
      <c r="G32" s="138"/>
      <c r="H32" s="138"/>
      <c r="I32" s="138">
        <v>5000000</v>
      </c>
      <c r="J32" s="137">
        <v>5</v>
      </c>
      <c r="K32" s="138">
        <f t="shared" si="3"/>
        <v>25000000</v>
      </c>
      <c r="L32" s="252"/>
      <c r="M32" s="75">
        <v>25000000</v>
      </c>
      <c r="N32" s="206"/>
    </row>
    <row r="33" spans="1:14" s="151" customFormat="1" ht="15.75">
      <c r="A33" s="135" t="s">
        <v>383</v>
      </c>
      <c r="B33" s="136" t="s">
        <v>555</v>
      </c>
      <c r="C33" s="137" t="s">
        <v>499</v>
      </c>
      <c r="D33" s="138"/>
      <c r="E33" s="138"/>
      <c r="F33" s="138"/>
      <c r="G33" s="138"/>
      <c r="H33" s="138"/>
      <c r="I33" s="138">
        <v>450000</v>
      </c>
      <c r="J33" s="137">
        <v>5</v>
      </c>
      <c r="K33" s="138">
        <f t="shared" si="3"/>
        <v>2250000</v>
      </c>
      <c r="L33" s="252"/>
      <c r="M33" s="75">
        <v>2250000</v>
      </c>
      <c r="N33" s="206"/>
    </row>
    <row r="34" spans="1:14" s="151" customFormat="1" ht="15.75">
      <c r="A34" s="135" t="s">
        <v>384</v>
      </c>
      <c r="B34" s="136" t="s">
        <v>502</v>
      </c>
      <c r="C34" s="137" t="s">
        <v>499</v>
      </c>
      <c r="D34" s="138"/>
      <c r="E34" s="138"/>
      <c r="F34" s="138"/>
      <c r="G34" s="138"/>
      <c r="H34" s="138"/>
      <c r="I34" s="138">
        <v>100000</v>
      </c>
      <c r="J34" s="137">
        <v>150</v>
      </c>
      <c r="K34" s="138">
        <f t="shared" si="3"/>
        <v>15000000</v>
      </c>
      <c r="L34" s="252"/>
      <c r="M34" s="75">
        <v>15000000</v>
      </c>
      <c r="N34" s="206"/>
    </row>
    <row r="35" spans="1:14" s="151" customFormat="1" ht="15.75">
      <c r="A35" s="135" t="s">
        <v>385</v>
      </c>
      <c r="B35" s="136" t="s">
        <v>503</v>
      </c>
      <c r="C35" s="137" t="s">
        <v>499</v>
      </c>
      <c r="D35" s="138"/>
      <c r="E35" s="138"/>
      <c r="F35" s="138"/>
      <c r="G35" s="138"/>
      <c r="H35" s="138"/>
      <c r="I35" s="138">
        <v>200000</v>
      </c>
      <c r="J35" s="137">
        <v>150</v>
      </c>
      <c r="K35" s="138">
        <f t="shared" si="3"/>
        <v>30000000</v>
      </c>
      <c r="L35" s="252"/>
      <c r="M35" s="75">
        <v>30000000</v>
      </c>
      <c r="N35" s="206"/>
    </row>
    <row r="36" spans="1:14" s="151" customFormat="1" ht="15.75">
      <c r="A36" s="135" t="s">
        <v>386</v>
      </c>
      <c r="B36" s="136" t="s">
        <v>504</v>
      </c>
      <c r="C36" s="137" t="s">
        <v>499</v>
      </c>
      <c r="D36" s="138"/>
      <c r="E36" s="138"/>
      <c r="F36" s="138"/>
      <c r="G36" s="138"/>
      <c r="H36" s="64"/>
      <c r="I36" s="64">
        <v>200000</v>
      </c>
      <c r="J36" s="212">
        <v>10</v>
      </c>
      <c r="K36" s="64">
        <f t="shared" si="3"/>
        <v>2000000</v>
      </c>
      <c r="L36" s="252"/>
      <c r="M36" s="75">
        <v>2000000</v>
      </c>
      <c r="N36" s="206"/>
    </row>
    <row r="37" spans="1:14" s="253" customFormat="1" ht="31.5">
      <c r="A37" s="258">
        <v>2</v>
      </c>
      <c r="B37" s="257" t="s">
        <v>505</v>
      </c>
      <c r="C37" s="256" t="s">
        <v>506</v>
      </c>
      <c r="D37" s="255"/>
      <c r="E37" s="255">
        <v>1</v>
      </c>
      <c r="F37" s="255">
        <v>33740000</v>
      </c>
      <c r="G37" s="255"/>
      <c r="H37" s="255"/>
      <c r="I37" s="255"/>
      <c r="J37" s="256">
        <v>1</v>
      </c>
      <c r="K37" s="255">
        <f>SUBTOTAL(9,K38:K39)</f>
        <v>7000000</v>
      </c>
      <c r="L37" s="254"/>
      <c r="M37" s="254">
        <v>7000000</v>
      </c>
      <c r="N37" s="259"/>
    </row>
    <row r="38" spans="1:13" ht="15.75" customHeight="1">
      <c r="A38" s="135" t="s">
        <v>274</v>
      </c>
      <c r="B38" s="136" t="s">
        <v>507</v>
      </c>
      <c r="C38" s="137" t="s">
        <v>499</v>
      </c>
      <c r="D38" s="138">
        <v>20000</v>
      </c>
      <c r="E38" s="138">
        <v>52</v>
      </c>
      <c r="F38" s="138">
        <v>1040000</v>
      </c>
      <c r="G38" s="138" t="s">
        <v>508</v>
      </c>
      <c r="H38" s="138"/>
      <c r="I38" s="138">
        <v>40000</v>
      </c>
      <c r="J38" s="137">
        <v>50</v>
      </c>
      <c r="K38" s="138">
        <f>I38*J38</f>
        <v>2000000</v>
      </c>
      <c r="L38" s="75"/>
      <c r="M38" s="75">
        <v>2000000</v>
      </c>
    </row>
    <row r="39" spans="1:13" ht="18.75" customHeight="1">
      <c r="A39" s="135" t="s">
        <v>276</v>
      </c>
      <c r="B39" s="136" t="s">
        <v>509</v>
      </c>
      <c r="C39" s="137" t="s">
        <v>510</v>
      </c>
      <c r="D39" s="138">
        <v>100000</v>
      </c>
      <c r="E39" s="138">
        <v>52</v>
      </c>
      <c r="F39" s="138">
        <v>5200000</v>
      </c>
      <c r="G39" s="138" t="s">
        <v>511</v>
      </c>
      <c r="H39" s="138"/>
      <c r="I39" s="138">
        <v>100000</v>
      </c>
      <c r="J39" s="137">
        <v>50</v>
      </c>
      <c r="K39" s="138">
        <f>I39*J39</f>
        <v>5000000</v>
      </c>
      <c r="L39" s="75"/>
      <c r="M39" s="75">
        <v>5000000</v>
      </c>
    </row>
    <row r="40" spans="1:13" s="253" customFormat="1" ht="15.75">
      <c r="A40" s="258">
        <v>3</v>
      </c>
      <c r="B40" s="257" t="s">
        <v>512</v>
      </c>
      <c r="C40" s="256"/>
      <c r="D40" s="255"/>
      <c r="E40" s="255">
        <v>1</v>
      </c>
      <c r="F40" s="255">
        <v>134400000</v>
      </c>
      <c r="G40" s="255"/>
      <c r="H40" s="255"/>
      <c r="I40" s="255"/>
      <c r="J40" s="256">
        <v>1</v>
      </c>
      <c r="K40" s="255">
        <f>SUBTOTAL(9,K41:K52)</f>
        <v>79950000</v>
      </c>
      <c r="L40" s="254"/>
      <c r="M40" s="254">
        <v>79950000</v>
      </c>
    </row>
    <row r="41" spans="1:13" ht="15.75">
      <c r="A41" s="135" t="s">
        <v>513</v>
      </c>
      <c r="B41" s="136" t="s">
        <v>514</v>
      </c>
      <c r="C41" s="137" t="s">
        <v>499</v>
      </c>
      <c r="D41" s="138">
        <v>2000000</v>
      </c>
      <c r="E41" s="138">
        <v>1</v>
      </c>
      <c r="F41" s="138">
        <v>2000000</v>
      </c>
      <c r="G41" s="138" t="s">
        <v>515</v>
      </c>
      <c r="H41" s="138"/>
      <c r="I41" s="138">
        <v>1500000</v>
      </c>
      <c r="J41" s="137">
        <v>1</v>
      </c>
      <c r="K41" s="138">
        <f aca="true" t="shared" si="4" ref="K41:K51">I41*J41</f>
        <v>1500000</v>
      </c>
      <c r="L41" s="75"/>
      <c r="M41" s="75">
        <v>1500000</v>
      </c>
    </row>
    <row r="42" spans="1:13" ht="15.75">
      <c r="A42" s="135" t="s">
        <v>516</v>
      </c>
      <c r="B42" s="136" t="s">
        <v>430</v>
      </c>
      <c r="C42" s="137" t="s">
        <v>499</v>
      </c>
      <c r="D42" s="138">
        <v>1000000</v>
      </c>
      <c r="E42" s="138">
        <v>1</v>
      </c>
      <c r="F42" s="138">
        <v>1000000</v>
      </c>
      <c r="G42" s="138" t="s">
        <v>515</v>
      </c>
      <c r="H42" s="138"/>
      <c r="I42" s="138">
        <v>300000</v>
      </c>
      <c r="J42" s="137">
        <v>1</v>
      </c>
      <c r="K42" s="138">
        <f t="shared" si="4"/>
        <v>300000</v>
      </c>
      <c r="L42" s="75"/>
      <c r="M42" s="75">
        <v>300000</v>
      </c>
    </row>
    <row r="43" spans="1:13" ht="15.75">
      <c r="A43" s="135" t="s">
        <v>517</v>
      </c>
      <c r="B43" s="136" t="s">
        <v>518</v>
      </c>
      <c r="C43" s="137" t="s">
        <v>499</v>
      </c>
      <c r="D43" s="138">
        <v>2000000</v>
      </c>
      <c r="E43" s="138">
        <v>60</v>
      </c>
      <c r="F43" s="138">
        <v>120000000</v>
      </c>
      <c r="G43" s="138" t="s">
        <v>515</v>
      </c>
      <c r="H43" s="138"/>
      <c r="I43" s="138">
        <v>1000000</v>
      </c>
      <c r="J43" s="137">
        <v>18</v>
      </c>
      <c r="K43" s="138">
        <f t="shared" si="4"/>
        <v>18000000</v>
      </c>
      <c r="L43" s="75"/>
      <c r="M43" s="75">
        <v>18000000</v>
      </c>
    </row>
    <row r="44" spans="1:13" ht="15.75">
      <c r="A44" s="135" t="s">
        <v>519</v>
      </c>
      <c r="B44" s="136" t="s">
        <v>520</v>
      </c>
      <c r="C44" s="137" t="s">
        <v>499</v>
      </c>
      <c r="D44" s="138"/>
      <c r="E44" s="138"/>
      <c r="F44" s="138"/>
      <c r="G44" s="138"/>
      <c r="H44" s="138"/>
      <c r="I44" s="138">
        <v>500000</v>
      </c>
      <c r="J44" s="137">
        <v>18</v>
      </c>
      <c r="K44" s="138">
        <f t="shared" si="4"/>
        <v>9000000</v>
      </c>
      <c r="L44" s="75"/>
      <c r="M44" s="75">
        <v>9000000</v>
      </c>
    </row>
    <row r="45" spans="1:13" ht="15.75">
      <c r="A45" s="135" t="s">
        <v>521</v>
      </c>
      <c r="B45" s="136" t="s">
        <v>522</v>
      </c>
      <c r="C45" s="137" t="s">
        <v>499</v>
      </c>
      <c r="D45" s="138"/>
      <c r="E45" s="138"/>
      <c r="F45" s="138"/>
      <c r="G45" s="138"/>
      <c r="H45" s="138"/>
      <c r="I45" s="138">
        <v>1000000</v>
      </c>
      <c r="J45" s="137">
        <v>2</v>
      </c>
      <c r="K45" s="138">
        <f t="shared" si="4"/>
        <v>2000000</v>
      </c>
      <c r="L45" s="75"/>
      <c r="M45" s="75">
        <v>2000000</v>
      </c>
    </row>
    <row r="46" spans="1:13" ht="15.75">
      <c r="A46" s="135" t="s">
        <v>523</v>
      </c>
      <c r="B46" s="136" t="s">
        <v>431</v>
      </c>
      <c r="C46" s="137" t="s">
        <v>499</v>
      </c>
      <c r="D46" s="138"/>
      <c r="E46" s="138"/>
      <c r="F46" s="138"/>
      <c r="G46" s="138"/>
      <c r="H46" s="138"/>
      <c r="I46" s="138">
        <v>700000</v>
      </c>
      <c r="J46" s="137">
        <v>2</v>
      </c>
      <c r="K46" s="138">
        <f t="shared" si="4"/>
        <v>1400000</v>
      </c>
      <c r="L46" s="75"/>
      <c r="M46" s="75">
        <v>1400000</v>
      </c>
    </row>
    <row r="47" spans="1:13" ht="15.75">
      <c r="A47" s="135" t="s">
        <v>524</v>
      </c>
      <c r="B47" s="136" t="s">
        <v>432</v>
      </c>
      <c r="C47" s="137" t="s">
        <v>499</v>
      </c>
      <c r="D47" s="138"/>
      <c r="E47" s="138"/>
      <c r="F47" s="138"/>
      <c r="G47" s="138"/>
      <c r="H47" s="138"/>
      <c r="I47" s="138">
        <v>200000</v>
      </c>
      <c r="J47" s="137">
        <v>32</v>
      </c>
      <c r="K47" s="138">
        <f t="shared" si="4"/>
        <v>6400000</v>
      </c>
      <c r="L47" s="75"/>
      <c r="M47" s="75">
        <v>6400000</v>
      </c>
    </row>
    <row r="48" spans="1:13" ht="15.75" customHeight="1">
      <c r="A48" s="135" t="s">
        <v>525</v>
      </c>
      <c r="B48" s="136" t="s">
        <v>507</v>
      </c>
      <c r="C48" s="137" t="s">
        <v>499</v>
      </c>
      <c r="D48" s="138">
        <v>40000</v>
      </c>
      <c r="E48" s="138">
        <v>60</v>
      </c>
      <c r="F48" s="138">
        <v>2400000</v>
      </c>
      <c r="G48" s="138" t="s">
        <v>508</v>
      </c>
      <c r="H48" s="138"/>
      <c r="I48" s="138">
        <v>40000</v>
      </c>
      <c r="J48" s="137">
        <v>50</v>
      </c>
      <c r="K48" s="138">
        <f t="shared" si="4"/>
        <v>2000000</v>
      </c>
      <c r="L48" s="75"/>
      <c r="M48" s="75">
        <v>2000000</v>
      </c>
    </row>
    <row r="49" spans="1:13" ht="18.75" customHeight="1">
      <c r="A49" s="135" t="s">
        <v>526</v>
      </c>
      <c r="B49" s="136" t="s">
        <v>509</v>
      </c>
      <c r="C49" s="137" t="s">
        <v>510</v>
      </c>
      <c r="D49" s="138">
        <v>150000</v>
      </c>
      <c r="E49" s="138">
        <v>60</v>
      </c>
      <c r="F49" s="138">
        <v>9000000</v>
      </c>
      <c r="G49" s="138" t="s">
        <v>511</v>
      </c>
      <c r="H49" s="138"/>
      <c r="I49" s="138">
        <v>100000</v>
      </c>
      <c r="J49" s="137">
        <v>50</v>
      </c>
      <c r="K49" s="138">
        <f t="shared" si="4"/>
        <v>5000000</v>
      </c>
      <c r="L49" s="75"/>
      <c r="M49" s="75">
        <v>5000000</v>
      </c>
    </row>
    <row r="50" spans="1:13" ht="18.75" customHeight="1">
      <c r="A50" s="135" t="s">
        <v>527</v>
      </c>
      <c r="B50" s="136" t="s">
        <v>528</v>
      </c>
      <c r="C50" s="137" t="s">
        <v>499</v>
      </c>
      <c r="D50" s="138"/>
      <c r="E50" s="138"/>
      <c r="F50" s="138"/>
      <c r="G50" s="138"/>
      <c r="H50" s="138"/>
      <c r="I50" s="138">
        <v>5000000</v>
      </c>
      <c r="J50" s="137">
        <v>6</v>
      </c>
      <c r="K50" s="138">
        <f t="shared" si="4"/>
        <v>30000000</v>
      </c>
      <c r="L50" s="75"/>
      <c r="M50" s="75">
        <v>30000000</v>
      </c>
    </row>
    <row r="51" spans="1:13" ht="18.75" customHeight="1">
      <c r="A51" s="135" t="s">
        <v>529</v>
      </c>
      <c r="B51" s="136" t="s">
        <v>530</v>
      </c>
      <c r="C51" s="137" t="s">
        <v>499</v>
      </c>
      <c r="D51" s="138"/>
      <c r="E51" s="138"/>
      <c r="F51" s="138"/>
      <c r="G51" s="138"/>
      <c r="H51" s="138"/>
      <c r="I51" s="138">
        <v>450000</v>
      </c>
      <c r="J51" s="137">
        <v>6</v>
      </c>
      <c r="K51" s="138">
        <f t="shared" si="4"/>
        <v>2700000</v>
      </c>
      <c r="L51" s="75"/>
      <c r="M51" s="75">
        <v>2700000</v>
      </c>
    </row>
    <row r="52" spans="1:13" ht="18.75" customHeight="1">
      <c r="A52" s="135" t="s">
        <v>557</v>
      </c>
      <c r="B52" s="136" t="s">
        <v>556</v>
      </c>
      <c r="C52" s="137"/>
      <c r="D52" s="138"/>
      <c r="E52" s="138"/>
      <c r="F52" s="138"/>
      <c r="G52" s="138"/>
      <c r="H52" s="138"/>
      <c r="I52" s="138"/>
      <c r="J52" s="137"/>
      <c r="K52" s="138">
        <v>1650000</v>
      </c>
      <c r="L52" s="75"/>
      <c r="M52" s="75">
        <v>1650000</v>
      </c>
    </row>
    <row r="53" spans="1:13" ht="19.5" thickBot="1">
      <c r="A53" s="139"/>
      <c r="B53" s="140" t="s">
        <v>531</v>
      </c>
      <c r="C53" s="141"/>
      <c r="D53" s="141"/>
      <c r="E53" s="141"/>
      <c r="F53" s="141"/>
      <c r="G53" s="141"/>
      <c r="H53" s="141"/>
      <c r="I53" s="141"/>
      <c r="J53" s="141"/>
      <c r="K53" s="142">
        <f>K10+K25</f>
        <v>585200000</v>
      </c>
      <c r="L53" s="269">
        <f>L10</f>
        <v>38350000</v>
      </c>
      <c r="M53" s="269">
        <f>M10+M25</f>
        <v>623550000</v>
      </c>
    </row>
    <row r="54" ht="15.75">
      <c r="L54" s="148"/>
    </row>
    <row r="55" ht="15.75">
      <c r="A55" s="41" t="s">
        <v>297</v>
      </c>
    </row>
    <row r="56" spans="2:11" ht="95.25" customHeight="1">
      <c r="B56" s="360" t="s">
        <v>400</v>
      </c>
      <c r="C56" s="360"/>
      <c r="D56" s="360"/>
      <c r="E56" s="360"/>
      <c r="F56" s="360"/>
      <c r="G56" s="360"/>
      <c r="H56" s="360"/>
      <c r="I56" s="360"/>
      <c r="J56" s="360"/>
      <c r="K56" s="360"/>
    </row>
  </sheetData>
  <sheetProtection/>
  <mergeCells count="3">
    <mergeCell ref="A1:B1"/>
    <mergeCell ref="A2:K2"/>
    <mergeCell ref="B56:K56"/>
  </mergeCells>
  <printOptions/>
  <pageMargins left="0.29" right="0.16"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61"/>
  <sheetViews>
    <sheetView zoomScalePageLayoutView="0" workbookViewId="0" topLeftCell="A232">
      <selection activeCell="D234" sqref="D234"/>
    </sheetView>
  </sheetViews>
  <sheetFormatPr defaultColWidth="9.140625" defaultRowHeight="15"/>
  <cols>
    <col min="1" max="1" width="5.140625" style="9" bestFit="1" customWidth="1"/>
    <col min="2" max="2" width="42.7109375" style="15" customWidth="1"/>
    <col min="3" max="3" width="13.421875" style="6" customWidth="1"/>
    <col min="4" max="4" width="10.421875" style="9" customWidth="1"/>
    <col min="5" max="5" width="11.140625" style="9" customWidth="1"/>
    <col min="6" max="6" width="11.8515625" style="9" customWidth="1"/>
    <col min="7" max="7" width="12.7109375" style="26" customWidth="1"/>
    <col min="8" max="8" width="13.7109375" style="9" customWidth="1"/>
    <col min="9" max="9" width="38.421875" style="6" hidden="1" customWidth="1"/>
    <col min="10" max="10" width="19.28125" style="6" customWidth="1"/>
    <col min="11" max="11" width="11.28125" style="6" bestFit="1" customWidth="1"/>
    <col min="12" max="12" width="13.140625" style="6" bestFit="1" customWidth="1"/>
    <col min="13" max="16384" width="9.140625" style="6" customWidth="1"/>
  </cols>
  <sheetData>
    <row r="1" spans="1:8" s="8" customFormat="1" ht="18.75" customHeight="1">
      <c r="A1" s="177"/>
      <c r="B1" s="176"/>
      <c r="C1" s="176"/>
      <c r="D1" s="176"/>
      <c r="E1" s="176"/>
      <c r="F1" s="176"/>
      <c r="G1" s="176"/>
      <c r="H1" s="176"/>
    </row>
    <row r="2" spans="1:8" ht="59.25" customHeight="1">
      <c r="A2" s="363" t="s">
        <v>545</v>
      </c>
      <c r="B2" s="363"/>
      <c r="C2" s="363"/>
      <c r="D2" s="363"/>
      <c r="E2" s="363"/>
      <c r="F2" s="363"/>
      <c r="G2" s="363"/>
      <c r="H2" s="363"/>
    </row>
    <row r="3" spans="1:8" ht="15.75" customHeight="1" hidden="1">
      <c r="A3" s="24"/>
      <c r="B3" s="361" t="s">
        <v>246</v>
      </c>
      <c r="C3" s="361"/>
      <c r="D3" s="361"/>
      <c r="E3" s="361"/>
      <c r="F3" s="361"/>
      <c r="G3" s="361"/>
      <c r="H3" s="361"/>
    </row>
    <row r="4" spans="1:10" ht="15.75" customHeight="1" thickBot="1">
      <c r="A4" s="24"/>
      <c r="B4" s="154"/>
      <c r="C4" s="154"/>
      <c r="D4" s="154"/>
      <c r="E4" s="154"/>
      <c r="F4" s="154"/>
      <c r="G4" s="154"/>
      <c r="H4" s="204" t="s">
        <v>547</v>
      </c>
      <c r="J4" s="203"/>
    </row>
    <row r="5" spans="1:8" s="152" customFormat="1" ht="110.25">
      <c r="A5" s="180" t="s">
        <v>272</v>
      </c>
      <c r="B5" s="181" t="s">
        <v>118</v>
      </c>
      <c r="C5" s="181" t="s">
        <v>119</v>
      </c>
      <c r="D5" s="181" t="s">
        <v>120</v>
      </c>
      <c r="E5" s="182" t="s">
        <v>263</v>
      </c>
      <c r="F5" s="182" t="s">
        <v>264</v>
      </c>
      <c r="G5" s="183" t="s">
        <v>265</v>
      </c>
      <c r="H5" s="184" t="s">
        <v>481</v>
      </c>
    </row>
    <row r="6" spans="1:8" ht="34.5" customHeight="1">
      <c r="A6" s="185"/>
      <c r="B6" s="364" t="s">
        <v>339</v>
      </c>
      <c r="C6" s="364"/>
      <c r="D6" s="364"/>
      <c r="E6" s="364"/>
      <c r="F6" s="364"/>
      <c r="G6" s="364"/>
      <c r="H6" s="186">
        <f>H61+H216</f>
        <v>54286262.5</v>
      </c>
    </row>
    <row r="7" spans="1:8" ht="15.75" hidden="1">
      <c r="A7" s="185">
        <v>1</v>
      </c>
      <c r="B7" s="11" t="s">
        <v>240</v>
      </c>
      <c r="C7" s="155"/>
      <c r="D7" s="155"/>
      <c r="E7" s="155"/>
      <c r="F7" s="155"/>
      <c r="G7" s="19"/>
      <c r="H7" s="187"/>
    </row>
    <row r="8" spans="1:8" ht="31.5" hidden="1">
      <c r="A8" s="132" t="s">
        <v>2</v>
      </c>
      <c r="B8" s="17" t="s">
        <v>258</v>
      </c>
      <c r="C8" s="155"/>
      <c r="D8" s="155"/>
      <c r="E8" s="155"/>
      <c r="F8" s="155"/>
      <c r="G8" s="19"/>
      <c r="H8" s="187"/>
    </row>
    <row r="9" spans="1:8" ht="31.5" hidden="1">
      <c r="A9" s="132" t="s">
        <v>7</v>
      </c>
      <c r="B9" s="17" t="s">
        <v>259</v>
      </c>
      <c r="C9" s="155"/>
      <c r="D9" s="155"/>
      <c r="E9" s="155"/>
      <c r="F9" s="155"/>
      <c r="G9" s="19"/>
      <c r="H9" s="187"/>
    </row>
    <row r="10" spans="1:8" ht="31.5" hidden="1">
      <c r="A10" s="132" t="s">
        <v>9</v>
      </c>
      <c r="B10" s="17" t="s">
        <v>260</v>
      </c>
      <c r="C10" s="155"/>
      <c r="D10" s="155"/>
      <c r="E10" s="155"/>
      <c r="F10" s="155"/>
      <c r="G10" s="19"/>
      <c r="H10" s="187"/>
    </row>
    <row r="11" spans="1:8" ht="31.5" hidden="1">
      <c r="A11" s="132" t="s">
        <v>28</v>
      </c>
      <c r="B11" s="17" t="s">
        <v>261</v>
      </c>
      <c r="C11" s="155"/>
      <c r="D11" s="155"/>
      <c r="E11" s="155"/>
      <c r="F11" s="155"/>
      <c r="G11" s="19"/>
      <c r="H11" s="187"/>
    </row>
    <row r="12" spans="1:8" ht="31.5" hidden="1">
      <c r="A12" s="132" t="s">
        <v>34</v>
      </c>
      <c r="B12" s="18" t="s">
        <v>262</v>
      </c>
      <c r="C12" s="155"/>
      <c r="D12" s="155"/>
      <c r="E12" s="155"/>
      <c r="F12" s="155"/>
      <c r="G12" s="19"/>
      <c r="H12" s="187"/>
    </row>
    <row r="13" spans="1:8" ht="31.5" hidden="1">
      <c r="A13" s="188">
        <v>2</v>
      </c>
      <c r="B13" s="11" t="s">
        <v>253</v>
      </c>
      <c r="C13" s="2"/>
      <c r="D13" s="2"/>
      <c r="E13" s="2"/>
      <c r="F13" s="155"/>
      <c r="G13" s="19"/>
      <c r="H13" s="187"/>
    </row>
    <row r="14" spans="1:8" ht="15.75" hidden="1">
      <c r="A14" s="188" t="s">
        <v>2</v>
      </c>
      <c r="B14" s="14" t="s">
        <v>219</v>
      </c>
      <c r="C14" s="155"/>
      <c r="D14" s="155"/>
      <c r="E14" s="155"/>
      <c r="F14" s="155"/>
      <c r="G14" s="19"/>
      <c r="H14" s="187"/>
    </row>
    <row r="15" spans="1:8" ht="15.75" hidden="1">
      <c r="A15" s="189"/>
      <c r="B15" s="4" t="s">
        <v>257</v>
      </c>
      <c r="C15" s="7"/>
      <c r="D15" s="7"/>
      <c r="E15" s="7"/>
      <c r="F15" s="7"/>
      <c r="G15" s="20"/>
      <c r="H15" s="190"/>
    </row>
    <row r="16" spans="1:8" ht="15.75" hidden="1">
      <c r="A16" s="189"/>
      <c r="B16" s="4" t="s">
        <v>214</v>
      </c>
      <c r="C16" s="7"/>
      <c r="D16" s="7"/>
      <c r="E16" s="7"/>
      <c r="F16" s="7"/>
      <c r="G16" s="20"/>
      <c r="H16" s="190"/>
    </row>
    <row r="17" spans="1:8" ht="15.75" hidden="1">
      <c r="A17" s="189"/>
      <c r="B17" s="4" t="s">
        <v>215</v>
      </c>
      <c r="C17" s="7"/>
      <c r="D17" s="7"/>
      <c r="E17" s="7"/>
      <c r="F17" s="7"/>
      <c r="G17" s="20"/>
      <c r="H17" s="190"/>
    </row>
    <row r="18" spans="1:8" ht="15.75" hidden="1">
      <c r="A18" s="189"/>
      <c r="B18" s="4" t="s">
        <v>251</v>
      </c>
      <c r="C18" s="7"/>
      <c r="D18" s="7"/>
      <c r="E18" s="7"/>
      <c r="F18" s="7"/>
      <c r="G18" s="20"/>
      <c r="H18" s="190"/>
    </row>
    <row r="19" spans="1:8" ht="31.5" hidden="1">
      <c r="A19" s="188" t="s">
        <v>7</v>
      </c>
      <c r="B19" s="14" t="s">
        <v>220</v>
      </c>
      <c r="C19" s="155"/>
      <c r="D19" s="155"/>
      <c r="E19" s="155"/>
      <c r="F19" s="155"/>
      <c r="G19" s="19"/>
      <c r="H19" s="187"/>
    </row>
    <row r="20" spans="1:8" ht="15.75" hidden="1">
      <c r="A20" s="188"/>
      <c r="B20" s="4" t="s">
        <v>257</v>
      </c>
      <c r="C20" s="7"/>
      <c r="D20" s="7"/>
      <c r="E20" s="7"/>
      <c r="F20" s="7"/>
      <c r="G20" s="19"/>
      <c r="H20" s="187"/>
    </row>
    <row r="21" spans="1:8" ht="15.75" hidden="1">
      <c r="A21" s="188"/>
      <c r="B21" s="4" t="s">
        <v>214</v>
      </c>
      <c r="C21" s="7"/>
      <c r="D21" s="7"/>
      <c r="E21" s="7"/>
      <c r="F21" s="7"/>
      <c r="G21" s="19"/>
      <c r="H21" s="187"/>
    </row>
    <row r="22" spans="1:8" ht="15.75" hidden="1">
      <c r="A22" s="188"/>
      <c r="B22" s="4" t="s">
        <v>215</v>
      </c>
      <c r="C22" s="7"/>
      <c r="D22" s="7"/>
      <c r="E22" s="7"/>
      <c r="F22" s="7"/>
      <c r="G22" s="19"/>
      <c r="H22" s="187"/>
    </row>
    <row r="23" spans="1:8" ht="15.75" hidden="1">
      <c r="A23" s="188"/>
      <c r="B23" s="4" t="s">
        <v>251</v>
      </c>
      <c r="C23" s="7"/>
      <c r="D23" s="7"/>
      <c r="E23" s="7"/>
      <c r="F23" s="7"/>
      <c r="G23" s="19"/>
      <c r="H23" s="187"/>
    </row>
    <row r="24" spans="1:8" ht="47.25" hidden="1">
      <c r="A24" s="188" t="s">
        <v>9</v>
      </c>
      <c r="B24" s="14" t="s">
        <v>222</v>
      </c>
      <c r="C24" s="155"/>
      <c r="D24" s="155"/>
      <c r="E24" s="155"/>
      <c r="F24" s="155"/>
      <c r="G24" s="19"/>
      <c r="H24" s="187"/>
    </row>
    <row r="25" spans="1:8" ht="15.75" hidden="1">
      <c r="A25" s="188"/>
      <c r="B25" s="4" t="s">
        <v>257</v>
      </c>
      <c r="C25" s="7"/>
      <c r="D25" s="7"/>
      <c r="E25" s="7"/>
      <c r="F25" s="7"/>
      <c r="G25" s="20"/>
      <c r="H25" s="190"/>
    </row>
    <row r="26" spans="1:8" ht="15.75" hidden="1">
      <c r="A26" s="188"/>
      <c r="B26" s="4" t="s">
        <v>214</v>
      </c>
      <c r="C26" s="7"/>
      <c r="D26" s="7"/>
      <c r="E26" s="7"/>
      <c r="F26" s="7"/>
      <c r="G26" s="20"/>
      <c r="H26" s="190"/>
    </row>
    <row r="27" spans="1:8" ht="15.75" hidden="1">
      <c r="A27" s="188"/>
      <c r="B27" s="4" t="s">
        <v>215</v>
      </c>
      <c r="C27" s="7"/>
      <c r="D27" s="7"/>
      <c r="E27" s="7"/>
      <c r="F27" s="7"/>
      <c r="G27" s="20"/>
      <c r="H27" s="190"/>
    </row>
    <row r="28" spans="1:8" ht="15.75" hidden="1">
      <c r="A28" s="188"/>
      <c r="B28" s="4" t="s">
        <v>251</v>
      </c>
      <c r="C28" s="7"/>
      <c r="D28" s="7"/>
      <c r="E28" s="7"/>
      <c r="F28" s="7"/>
      <c r="G28" s="20"/>
      <c r="H28" s="190"/>
    </row>
    <row r="29" spans="1:8" ht="31.5" hidden="1">
      <c r="A29" s="188" t="s">
        <v>28</v>
      </c>
      <c r="B29" s="14" t="s">
        <v>221</v>
      </c>
      <c r="C29" s="155"/>
      <c r="D29" s="155"/>
      <c r="E29" s="155"/>
      <c r="F29" s="155"/>
      <c r="G29" s="19"/>
      <c r="H29" s="187"/>
    </row>
    <row r="30" spans="1:8" ht="15.75" hidden="1">
      <c r="A30" s="188"/>
      <c r="B30" s="4" t="s">
        <v>257</v>
      </c>
      <c r="C30" s="7"/>
      <c r="D30" s="7"/>
      <c r="E30" s="7"/>
      <c r="F30" s="7"/>
      <c r="G30" s="20"/>
      <c r="H30" s="190"/>
    </row>
    <row r="31" spans="1:8" ht="15.75" hidden="1">
      <c r="A31" s="188"/>
      <c r="B31" s="4" t="s">
        <v>214</v>
      </c>
      <c r="C31" s="7"/>
      <c r="D31" s="7"/>
      <c r="E31" s="7"/>
      <c r="F31" s="7"/>
      <c r="G31" s="20"/>
      <c r="H31" s="190"/>
    </row>
    <row r="32" spans="1:8" ht="15.75" hidden="1">
      <c r="A32" s="188"/>
      <c r="B32" s="4" t="s">
        <v>215</v>
      </c>
      <c r="C32" s="7"/>
      <c r="D32" s="7"/>
      <c r="E32" s="7"/>
      <c r="F32" s="7"/>
      <c r="G32" s="20"/>
      <c r="H32" s="190"/>
    </row>
    <row r="33" spans="1:8" ht="15.75" hidden="1">
      <c r="A33" s="188"/>
      <c r="B33" s="4" t="s">
        <v>251</v>
      </c>
      <c r="C33" s="7"/>
      <c r="D33" s="7"/>
      <c r="E33" s="7"/>
      <c r="F33" s="7"/>
      <c r="G33" s="20"/>
      <c r="H33" s="190"/>
    </row>
    <row r="34" spans="1:8" ht="15.75" hidden="1">
      <c r="A34" s="188" t="s">
        <v>34</v>
      </c>
      <c r="B34" s="14" t="s">
        <v>131</v>
      </c>
      <c r="C34" s="155"/>
      <c r="D34" s="155"/>
      <c r="E34" s="155"/>
      <c r="F34" s="155"/>
      <c r="G34" s="19"/>
      <c r="H34" s="187"/>
    </row>
    <row r="35" spans="1:8" ht="31.5" hidden="1">
      <c r="A35" s="188" t="s">
        <v>73</v>
      </c>
      <c r="B35" s="14" t="s">
        <v>223</v>
      </c>
      <c r="C35" s="155"/>
      <c r="D35" s="155"/>
      <c r="E35" s="155"/>
      <c r="F35" s="155"/>
      <c r="G35" s="19"/>
      <c r="H35" s="187"/>
    </row>
    <row r="36" spans="1:8" ht="15.75" hidden="1">
      <c r="A36" s="188" t="s">
        <v>74</v>
      </c>
      <c r="B36" s="14" t="s">
        <v>256</v>
      </c>
      <c r="C36" s="155"/>
      <c r="D36" s="155"/>
      <c r="E36" s="155"/>
      <c r="F36" s="155"/>
      <c r="G36" s="19"/>
      <c r="H36" s="187"/>
    </row>
    <row r="37" spans="1:8" ht="15.75" hidden="1">
      <c r="A37" s="185">
        <v>3</v>
      </c>
      <c r="B37" s="11" t="s">
        <v>224</v>
      </c>
      <c r="C37" s="155"/>
      <c r="D37" s="155"/>
      <c r="E37" s="155"/>
      <c r="F37" s="155"/>
      <c r="G37" s="19"/>
      <c r="H37" s="187"/>
    </row>
    <row r="38" spans="1:8" ht="31.5" hidden="1">
      <c r="A38" s="191" t="s">
        <v>2</v>
      </c>
      <c r="B38" s="12" t="s">
        <v>122</v>
      </c>
      <c r="C38" s="16" t="s">
        <v>1</v>
      </c>
      <c r="D38" s="5">
        <v>8</v>
      </c>
      <c r="E38" s="20">
        <v>2000</v>
      </c>
      <c r="F38" s="5">
        <v>0.99</v>
      </c>
      <c r="G38" s="20"/>
      <c r="H38" s="192"/>
    </row>
    <row r="39" spans="1:8" ht="47.25" hidden="1">
      <c r="A39" s="191" t="s">
        <v>7</v>
      </c>
      <c r="B39" s="12" t="s">
        <v>123</v>
      </c>
      <c r="C39" s="16" t="s">
        <v>1</v>
      </c>
      <c r="D39" s="5">
        <v>8</v>
      </c>
      <c r="E39" s="20">
        <v>2000</v>
      </c>
      <c r="F39" s="5">
        <v>0.99</v>
      </c>
      <c r="G39" s="20"/>
      <c r="H39" s="192"/>
    </row>
    <row r="40" spans="1:8" ht="47.25" hidden="1">
      <c r="A40" s="191" t="s">
        <v>9</v>
      </c>
      <c r="B40" s="12" t="s">
        <v>124</v>
      </c>
      <c r="C40" s="16" t="s">
        <v>1</v>
      </c>
      <c r="D40" s="5">
        <v>13</v>
      </c>
      <c r="E40" s="20">
        <v>2000</v>
      </c>
      <c r="F40" s="5">
        <v>0.99</v>
      </c>
      <c r="G40" s="20"/>
      <c r="H40" s="192"/>
    </row>
    <row r="41" spans="1:8" ht="47.25" hidden="1">
      <c r="A41" s="191" t="s">
        <v>28</v>
      </c>
      <c r="B41" s="12" t="s">
        <v>208</v>
      </c>
      <c r="C41" s="16"/>
      <c r="D41" s="16"/>
      <c r="E41" s="16"/>
      <c r="F41" s="5"/>
      <c r="G41" s="20"/>
      <c r="H41" s="192"/>
    </row>
    <row r="42" spans="1:8" ht="31.5" hidden="1">
      <c r="A42" s="191" t="s">
        <v>30</v>
      </c>
      <c r="B42" s="12" t="s">
        <v>209</v>
      </c>
      <c r="C42" s="16" t="s">
        <v>1</v>
      </c>
      <c r="D42" s="5">
        <v>20</v>
      </c>
      <c r="E42" s="20">
        <v>2000</v>
      </c>
      <c r="F42" s="5">
        <v>0.99</v>
      </c>
      <c r="G42" s="20"/>
      <c r="H42" s="192"/>
    </row>
    <row r="43" spans="1:8" ht="47.25" hidden="1">
      <c r="A43" s="191" t="s">
        <v>32</v>
      </c>
      <c r="B43" s="12" t="s">
        <v>210</v>
      </c>
      <c r="C43" s="16" t="s">
        <v>1</v>
      </c>
      <c r="D43" s="5">
        <v>30</v>
      </c>
      <c r="E43" s="20">
        <v>2000</v>
      </c>
      <c r="F43" s="5">
        <v>0.99</v>
      </c>
      <c r="G43" s="20"/>
      <c r="H43" s="192"/>
    </row>
    <row r="44" spans="1:8" ht="47.25" hidden="1">
      <c r="A44" s="191" t="s">
        <v>149</v>
      </c>
      <c r="B44" s="12" t="s">
        <v>125</v>
      </c>
      <c r="C44" s="16" t="s">
        <v>1</v>
      </c>
      <c r="D44" s="5">
        <v>15</v>
      </c>
      <c r="E44" s="20">
        <v>2000</v>
      </c>
      <c r="F44" s="5">
        <v>0.99</v>
      </c>
      <c r="G44" s="20"/>
      <c r="H44" s="192"/>
    </row>
    <row r="45" spans="1:8" ht="47.25" hidden="1">
      <c r="A45" s="191" t="s">
        <v>150</v>
      </c>
      <c r="B45" s="12" t="s">
        <v>126</v>
      </c>
      <c r="C45" s="16" t="s">
        <v>1</v>
      </c>
      <c r="D45" s="5">
        <v>13</v>
      </c>
      <c r="E45" s="20">
        <v>2000</v>
      </c>
      <c r="F45" s="5">
        <v>0.99</v>
      </c>
      <c r="G45" s="20"/>
      <c r="H45" s="192"/>
    </row>
    <row r="46" spans="1:8" ht="63" hidden="1">
      <c r="A46" s="191" t="s">
        <v>161</v>
      </c>
      <c r="B46" s="12" t="s">
        <v>127</v>
      </c>
      <c r="C46" s="16" t="s">
        <v>1</v>
      </c>
      <c r="D46" s="5">
        <v>18</v>
      </c>
      <c r="E46" s="20">
        <v>2000</v>
      </c>
      <c r="F46" s="5">
        <v>0.99</v>
      </c>
      <c r="G46" s="20"/>
      <c r="H46" s="192"/>
    </row>
    <row r="47" spans="1:8" ht="63" hidden="1">
      <c r="A47" s="191" t="s">
        <v>162</v>
      </c>
      <c r="B47" s="12" t="s">
        <v>128</v>
      </c>
      <c r="C47" s="16" t="s">
        <v>1</v>
      </c>
      <c r="D47" s="5">
        <v>25</v>
      </c>
      <c r="E47" s="20">
        <v>2000</v>
      </c>
      <c r="F47" s="5">
        <v>0.99</v>
      </c>
      <c r="G47" s="20"/>
      <c r="H47" s="192"/>
    </row>
    <row r="48" spans="1:8" ht="63" hidden="1">
      <c r="A48" s="191" t="s">
        <v>211</v>
      </c>
      <c r="B48" s="12" t="s">
        <v>129</v>
      </c>
      <c r="C48" s="16" t="s">
        <v>1</v>
      </c>
      <c r="D48" s="5">
        <v>30</v>
      </c>
      <c r="E48" s="20">
        <v>2000</v>
      </c>
      <c r="F48" s="5">
        <v>0.99</v>
      </c>
      <c r="G48" s="20"/>
      <c r="H48" s="192"/>
    </row>
    <row r="49" spans="1:8" ht="31.5" hidden="1">
      <c r="A49" s="191" t="s">
        <v>212</v>
      </c>
      <c r="B49" s="12" t="s">
        <v>130</v>
      </c>
      <c r="C49" s="16" t="s">
        <v>1</v>
      </c>
      <c r="D49" s="5">
        <v>5</v>
      </c>
      <c r="E49" s="20">
        <v>2000</v>
      </c>
      <c r="F49" s="5">
        <v>0.99</v>
      </c>
      <c r="G49" s="20"/>
      <c r="H49" s="192"/>
    </row>
    <row r="50" spans="1:8" ht="31.5" hidden="1">
      <c r="A50" s="191" t="s">
        <v>213</v>
      </c>
      <c r="B50" s="12" t="s">
        <v>105</v>
      </c>
      <c r="C50" s="16" t="s">
        <v>1</v>
      </c>
      <c r="D50" s="5">
        <v>10</v>
      </c>
      <c r="E50" s="20">
        <v>2000</v>
      </c>
      <c r="F50" s="5">
        <v>0.99</v>
      </c>
      <c r="G50" s="20"/>
      <c r="H50" s="192"/>
    </row>
    <row r="51" spans="1:8" ht="15.75" hidden="1">
      <c r="A51" s="185">
        <v>4</v>
      </c>
      <c r="B51" s="11" t="s">
        <v>252</v>
      </c>
      <c r="C51" s="155"/>
      <c r="D51" s="155"/>
      <c r="E51" s="155"/>
      <c r="F51" s="155"/>
      <c r="G51" s="19"/>
      <c r="H51" s="187"/>
    </row>
    <row r="52" spans="1:8" ht="15.75" hidden="1">
      <c r="A52" s="185">
        <v>5</v>
      </c>
      <c r="B52" s="11" t="s">
        <v>225</v>
      </c>
      <c r="C52" s="155"/>
      <c r="D52" s="155"/>
      <c r="E52" s="155"/>
      <c r="F52" s="155"/>
      <c r="G52" s="19"/>
      <c r="H52" s="187"/>
    </row>
    <row r="53" spans="1:8" ht="15.75" hidden="1">
      <c r="A53" s="185"/>
      <c r="B53" s="4" t="s">
        <v>226</v>
      </c>
      <c r="C53" s="155"/>
      <c r="D53" s="155"/>
      <c r="E53" s="155"/>
      <c r="F53" s="155"/>
      <c r="G53" s="19"/>
      <c r="H53" s="187"/>
    </row>
    <row r="54" spans="1:8" ht="15.75" hidden="1">
      <c r="A54" s="185"/>
      <c r="B54" s="4" t="s">
        <v>227</v>
      </c>
      <c r="C54" s="155"/>
      <c r="D54" s="155"/>
      <c r="E54" s="155"/>
      <c r="F54" s="155"/>
      <c r="G54" s="19"/>
      <c r="H54" s="187"/>
    </row>
    <row r="55" spans="1:8" ht="15.75" hidden="1">
      <c r="A55" s="185">
        <v>6</v>
      </c>
      <c r="B55" s="11" t="s">
        <v>241</v>
      </c>
      <c r="C55" s="2"/>
      <c r="D55" s="2"/>
      <c r="E55" s="2"/>
      <c r="F55" s="155"/>
      <c r="G55" s="19"/>
      <c r="H55" s="187"/>
    </row>
    <row r="56" spans="1:8" ht="15.75" hidden="1">
      <c r="A56" s="185"/>
      <c r="B56" s="4" t="s">
        <v>216</v>
      </c>
      <c r="C56" s="5"/>
      <c r="D56" s="5"/>
      <c r="E56" s="5"/>
      <c r="F56" s="5"/>
      <c r="G56" s="20"/>
      <c r="H56" s="190"/>
    </row>
    <row r="57" spans="1:8" ht="31.5" hidden="1">
      <c r="A57" s="185"/>
      <c r="B57" s="4" t="s">
        <v>255</v>
      </c>
      <c r="C57" s="5"/>
      <c r="D57" s="5"/>
      <c r="E57" s="5"/>
      <c r="F57" s="5"/>
      <c r="G57" s="20"/>
      <c r="H57" s="190"/>
    </row>
    <row r="58" spans="1:8" ht="31.5" hidden="1">
      <c r="A58" s="185"/>
      <c r="B58" s="4" t="s">
        <v>218</v>
      </c>
      <c r="C58" s="5"/>
      <c r="D58" s="5"/>
      <c r="E58" s="5"/>
      <c r="F58" s="5"/>
      <c r="G58" s="20"/>
      <c r="H58" s="190"/>
    </row>
    <row r="59" spans="1:8" ht="15.75" hidden="1">
      <c r="A59" s="185"/>
      <c r="B59" s="4" t="s">
        <v>217</v>
      </c>
      <c r="C59" s="5"/>
      <c r="D59" s="5"/>
      <c r="E59" s="5"/>
      <c r="F59" s="5"/>
      <c r="G59" s="20"/>
      <c r="H59" s="190"/>
    </row>
    <row r="60" spans="1:8" ht="47.25" hidden="1">
      <c r="A60" s="185">
        <v>7</v>
      </c>
      <c r="B60" s="11" t="s">
        <v>254</v>
      </c>
      <c r="C60" s="155"/>
      <c r="D60" s="155"/>
      <c r="E60" s="155"/>
      <c r="F60" s="155"/>
      <c r="G60" s="19"/>
      <c r="H60" s="187"/>
    </row>
    <row r="61" spans="1:10" s="13" customFormat="1" ht="45" customHeight="1">
      <c r="A61" s="128" t="s">
        <v>0</v>
      </c>
      <c r="B61" s="73" t="s">
        <v>239</v>
      </c>
      <c r="C61" s="73"/>
      <c r="D61" s="73"/>
      <c r="E61" s="73"/>
      <c r="F61" s="73"/>
      <c r="G61" s="74">
        <f>G62+G87+G97+G109+G125+G129+G135+G143+G152+G156+G164+G167+G171+G181+G176+G188+G205+G208+G212</f>
        <v>18815000</v>
      </c>
      <c r="H61" s="193">
        <f>H62+H87+H97+H109+H125+H129+H135+H143+H152+H156+H164+H167+H171+H176+H181+H188+H205+H208+H212</f>
        <v>18720925</v>
      </c>
      <c r="J61" s="21"/>
    </row>
    <row r="62" spans="1:8" s="13" customFormat="1" ht="33.75" customHeight="1">
      <c r="A62" s="185">
        <v>1</v>
      </c>
      <c r="B62" s="11" t="s">
        <v>11</v>
      </c>
      <c r="C62" s="14"/>
      <c r="D62" s="155"/>
      <c r="E62" s="155"/>
      <c r="F62" s="155"/>
      <c r="G62" s="19">
        <f>G63+G64+G68+G73+G76</f>
        <v>1526500</v>
      </c>
      <c r="H62" s="187">
        <f>H63+H64+H68+H73+H76</f>
        <v>1518867.5</v>
      </c>
    </row>
    <row r="63" spans="1:8" ht="29.25" customHeight="1">
      <c r="A63" s="191" t="s">
        <v>2</v>
      </c>
      <c r="B63" s="12" t="s">
        <v>12</v>
      </c>
      <c r="C63" s="5" t="s">
        <v>8</v>
      </c>
      <c r="D63" s="5">
        <v>63</v>
      </c>
      <c r="E63" s="7">
        <v>1500</v>
      </c>
      <c r="F63" s="5">
        <v>0.995</v>
      </c>
      <c r="G63" s="20">
        <f>D63*E63</f>
        <v>94500</v>
      </c>
      <c r="H63" s="190">
        <f>G63*F63</f>
        <v>94027.5</v>
      </c>
    </row>
    <row r="64" spans="1:8" ht="31.5">
      <c r="A64" s="191" t="s">
        <v>7</v>
      </c>
      <c r="B64" s="12" t="s">
        <v>477</v>
      </c>
      <c r="C64" s="4"/>
      <c r="D64" s="5"/>
      <c r="E64" s="7"/>
      <c r="F64" s="5"/>
      <c r="G64" s="20">
        <f>SUM(G65:G67)</f>
        <v>227000</v>
      </c>
      <c r="H64" s="190">
        <f>SUM(H65:H67)</f>
        <v>225865</v>
      </c>
    </row>
    <row r="65" spans="1:8" ht="31.5">
      <c r="A65" s="191" t="s">
        <v>13</v>
      </c>
      <c r="B65" s="12" t="s">
        <v>14</v>
      </c>
      <c r="C65" s="5" t="s">
        <v>8</v>
      </c>
      <c r="D65" s="5">
        <v>57</v>
      </c>
      <c r="E65" s="7">
        <v>1500</v>
      </c>
      <c r="F65" s="5">
        <v>0.995</v>
      </c>
      <c r="G65" s="20">
        <f>D65*E65</f>
        <v>85500</v>
      </c>
      <c r="H65" s="190">
        <f aca="true" t="shared" si="0" ref="H65:H127">G65*F65</f>
        <v>85072.5</v>
      </c>
    </row>
    <row r="66" spans="1:8" ht="31.5">
      <c r="A66" s="191" t="s">
        <v>15</v>
      </c>
      <c r="B66" s="12" t="s">
        <v>16</v>
      </c>
      <c r="C66" s="5" t="s">
        <v>8</v>
      </c>
      <c r="D66" s="5">
        <v>57</v>
      </c>
      <c r="E66" s="7">
        <v>1500</v>
      </c>
      <c r="F66" s="5">
        <v>0.995</v>
      </c>
      <c r="G66" s="20">
        <f>D66*E66</f>
        <v>85500</v>
      </c>
      <c r="H66" s="190">
        <f t="shared" si="0"/>
        <v>85072.5</v>
      </c>
    </row>
    <row r="67" spans="1:8" ht="31.5">
      <c r="A67" s="191" t="s">
        <v>17</v>
      </c>
      <c r="B67" s="12" t="s">
        <v>18</v>
      </c>
      <c r="C67" s="5" t="s">
        <v>1</v>
      </c>
      <c r="D67" s="5">
        <v>28</v>
      </c>
      <c r="E67" s="7">
        <v>2000</v>
      </c>
      <c r="F67" s="5">
        <v>0.995</v>
      </c>
      <c r="G67" s="20">
        <f>D67*E67</f>
        <v>56000</v>
      </c>
      <c r="H67" s="190">
        <f t="shared" si="0"/>
        <v>55720</v>
      </c>
    </row>
    <row r="68" spans="1:8" ht="31.5">
      <c r="A68" s="191" t="s">
        <v>9</v>
      </c>
      <c r="B68" s="12" t="s">
        <v>19</v>
      </c>
      <c r="C68" s="4"/>
      <c r="D68" s="5"/>
      <c r="E68" s="7"/>
      <c r="F68" s="5"/>
      <c r="G68" s="20">
        <f>SUM(G69:G72)</f>
        <v>282500</v>
      </c>
      <c r="H68" s="190">
        <f>SUM(H69:H72)</f>
        <v>281087.5</v>
      </c>
    </row>
    <row r="69" spans="1:8" ht="63">
      <c r="A69" s="191" t="s">
        <v>20</v>
      </c>
      <c r="B69" s="12" t="s">
        <v>21</v>
      </c>
      <c r="C69" s="5" t="s">
        <v>8</v>
      </c>
      <c r="D69" s="5">
        <v>53</v>
      </c>
      <c r="E69" s="7">
        <v>1500</v>
      </c>
      <c r="F69" s="5">
        <v>0.995</v>
      </c>
      <c r="G69" s="20">
        <f>D69*E69</f>
        <v>79500</v>
      </c>
      <c r="H69" s="190">
        <f t="shared" si="0"/>
        <v>79102.5</v>
      </c>
    </row>
    <row r="70" spans="1:8" ht="47.25">
      <c r="A70" s="191" t="s">
        <v>22</v>
      </c>
      <c r="B70" s="12" t="s">
        <v>23</v>
      </c>
      <c r="C70" s="5" t="s">
        <v>8</v>
      </c>
      <c r="D70" s="5">
        <v>53</v>
      </c>
      <c r="E70" s="7">
        <v>1500</v>
      </c>
      <c r="F70" s="5">
        <v>0.995</v>
      </c>
      <c r="G70" s="20">
        <f>D70*E70</f>
        <v>79500</v>
      </c>
      <c r="H70" s="190">
        <f t="shared" si="0"/>
        <v>79102.5</v>
      </c>
    </row>
    <row r="71" spans="1:8" ht="31.5">
      <c r="A71" s="191" t="s">
        <v>24</v>
      </c>
      <c r="B71" s="12" t="s">
        <v>25</v>
      </c>
      <c r="C71" s="5" t="s">
        <v>8</v>
      </c>
      <c r="D71" s="5">
        <v>53</v>
      </c>
      <c r="E71" s="7">
        <v>1500</v>
      </c>
      <c r="F71" s="5">
        <v>0.995</v>
      </c>
      <c r="G71" s="20">
        <f>D71*E71</f>
        <v>79500</v>
      </c>
      <c r="H71" s="190">
        <f t="shared" si="0"/>
        <v>79102.5</v>
      </c>
    </row>
    <row r="72" spans="1:8" ht="31.5">
      <c r="A72" s="191" t="s">
        <v>26</v>
      </c>
      <c r="B72" s="12" t="s">
        <v>27</v>
      </c>
      <c r="C72" s="5" t="s">
        <v>1</v>
      </c>
      <c r="D72" s="5">
        <v>22</v>
      </c>
      <c r="E72" s="7">
        <v>2000</v>
      </c>
      <c r="F72" s="5">
        <v>0.995</v>
      </c>
      <c r="G72" s="20">
        <f>D72*E72</f>
        <v>44000</v>
      </c>
      <c r="H72" s="190">
        <f t="shared" si="0"/>
        <v>43780</v>
      </c>
    </row>
    <row r="73" spans="1:8" ht="25.5" customHeight="1">
      <c r="A73" s="191" t="s">
        <v>28</v>
      </c>
      <c r="B73" s="12" t="s">
        <v>29</v>
      </c>
      <c r="C73" s="4"/>
      <c r="D73" s="5"/>
      <c r="E73" s="7"/>
      <c r="F73" s="5"/>
      <c r="G73" s="20">
        <f>SUM(G74:G75)</f>
        <v>135000</v>
      </c>
      <c r="H73" s="190">
        <f>H74+H75</f>
        <v>134325</v>
      </c>
    </row>
    <row r="74" spans="1:8" ht="31.5">
      <c r="A74" s="191" t="s">
        <v>30</v>
      </c>
      <c r="B74" s="12" t="s">
        <v>31</v>
      </c>
      <c r="C74" s="5" t="s">
        <v>8</v>
      </c>
      <c r="D74" s="5">
        <v>45</v>
      </c>
      <c r="E74" s="7">
        <v>1500</v>
      </c>
      <c r="F74" s="5">
        <v>0.995</v>
      </c>
      <c r="G74" s="20">
        <f>D74*E74</f>
        <v>67500</v>
      </c>
      <c r="H74" s="190">
        <f t="shared" si="0"/>
        <v>67162.5</v>
      </c>
    </row>
    <row r="75" spans="1:8" ht="31.5">
      <c r="A75" s="191" t="s">
        <v>32</v>
      </c>
      <c r="B75" s="12" t="s">
        <v>33</v>
      </c>
      <c r="C75" s="5" t="s">
        <v>8</v>
      </c>
      <c r="D75" s="5">
        <v>45</v>
      </c>
      <c r="E75" s="7">
        <v>1500</v>
      </c>
      <c r="F75" s="5">
        <v>0.995</v>
      </c>
      <c r="G75" s="20">
        <f>D75*E75</f>
        <v>67500</v>
      </c>
      <c r="H75" s="190">
        <f t="shared" si="0"/>
        <v>67162.5</v>
      </c>
    </row>
    <row r="76" spans="1:8" ht="25.5" customHeight="1">
      <c r="A76" s="191" t="s">
        <v>34</v>
      </c>
      <c r="B76" s="12" t="s">
        <v>35</v>
      </c>
      <c r="C76" s="4"/>
      <c r="D76" s="5"/>
      <c r="E76" s="7"/>
      <c r="F76" s="5"/>
      <c r="G76" s="20">
        <f>SUM(G77:G86)</f>
        <v>787500</v>
      </c>
      <c r="H76" s="190">
        <f>SUM(H77:H86)</f>
        <v>783562.5</v>
      </c>
    </row>
    <row r="77" spans="1:8" ht="31.5">
      <c r="A77" s="191" t="s">
        <v>36</v>
      </c>
      <c r="B77" s="12" t="s">
        <v>37</v>
      </c>
      <c r="C77" s="5" t="s">
        <v>1</v>
      </c>
      <c r="D77" s="5">
        <v>90</v>
      </c>
      <c r="E77" s="7">
        <v>2000</v>
      </c>
      <c r="F77" s="5">
        <v>0.995</v>
      </c>
      <c r="G77" s="20">
        <f>D77*E77</f>
        <v>180000</v>
      </c>
      <c r="H77" s="190">
        <f t="shared" si="0"/>
        <v>179100</v>
      </c>
    </row>
    <row r="78" spans="1:8" ht="31.5">
      <c r="A78" s="191" t="s">
        <v>38</v>
      </c>
      <c r="B78" s="12" t="s">
        <v>39</v>
      </c>
      <c r="C78" s="5" t="s">
        <v>8</v>
      </c>
      <c r="D78" s="5">
        <v>45</v>
      </c>
      <c r="E78" s="7">
        <v>1500</v>
      </c>
      <c r="F78" s="5">
        <v>0.995</v>
      </c>
      <c r="G78" s="20">
        <f aca="true" t="shared" si="1" ref="G78:G86">D78*E78</f>
        <v>67500</v>
      </c>
      <c r="H78" s="190">
        <f t="shared" si="0"/>
        <v>67162.5</v>
      </c>
    </row>
    <row r="79" spans="1:8" ht="31.5">
      <c r="A79" s="191" t="s">
        <v>40</v>
      </c>
      <c r="B79" s="12" t="s">
        <v>41</v>
      </c>
      <c r="C79" s="5" t="s">
        <v>8</v>
      </c>
      <c r="D79" s="5">
        <v>45</v>
      </c>
      <c r="E79" s="7">
        <v>1500</v>
      </c>
      <c r="F79" s="5">
        <v>0.995</v>
      </c>
      <c r="G79" s="20">
        <f t="shared" si="1"/>
        <v>67500</v>
      </c>
      <c r="H79" s="190">
        <f t="shared" si="0"/>
        <v>67162.5</v>
      </c>
    </row>
    <row r="80" spans="1:8" ht="31.5">
      <c r="A80" s="191" t="s">
        <v>42</v>
      </c>
      <c r="B80" s="12" t="s">
        <v>43</v>
      </c>
      <c r="C80" s="5" t="s">
        <v>8</v>
      </c>
      <c r="D80" s="5">
        <v>45</v>
      </c>
      <c r="E80" s="7">
        <v>1500</v>
      </c>
      <c r="F80" s="5">
        <v>0.995</v>
      </c>
      <c r="G80" s="20">
        <f t="shared" si="1"/>
        <v>67500</v>
      </c>
      <c r="H80" s="190">
        <f t="shared" si="0"/>
        <v>67162.5</v>
      </c>
    </row>
    <row r="81" spans="1:8" ht="31.5">
      <c r="A81" s="191" t="s">
        <v>44</v>
      </c>
      <c r="B81" s="12" t="s">
        <v>45</v>
      </c>
      <c r="C81" s="5" t="s">
        <v>8</v>
      </c>
      <c r="D81" s="5">
        <v>45</v>
      </c>
      <c r="E81" s="7">
        <v>1500</v>
      </c>
      <c r="F81" s="5">
        <v>0.995</v>
      </c>
      <c r="G81" s="20">
        <f t="shared" si="1"/>
        <v>67500</v>
      </c>
      <c r="H81" s="190">
        <f t="shared" si="0"/>
        <v>67162.5</v>
      </c>
    </row>
    <row r="82" spans="1:8" ht="31.5">
      <c r="A82" s="191" t="s">
        <v>46</v>
      </c>
      <c r="B82" s="12" t="s">
        <v>47</v>
      </c>
      <c r="C82" s="5" t="s">
        <v>8</v>
      </c>
      <c r="D82" s="5">
        <v>45</v>
      </c>
      <c r="E82" s="7">
        <v>1500</v>
      </c>
      <c r="F82" s="5">
        <v>0.995</v>
      </c>
      <c r="G82" s="20">
        <f t="shared" si="1"/>
        <v>67500</v>
      </c>
      <c r="H82" s="190">
        <f t="shared" si="0"/>
        <v>67162.5</v>
      </c>
    </row>
    <row r="83" spans="1:8" ht="31.5">
      <c r="A83" s="191" t="s">
        <v>48</v>
      </c>
      <c r="B83" s="12" t="s">
        <v>49</v>
      </c>
      <c r="C83" s="5" t="s">
        <v>8</v>
      </c>
      <c r="D83" s="5">
        <v>45</v>
      </c>
      <c r="E83" s="7">
        <v>1500</v>
      </c>
      <c r="F83" s="5">
        <v>0.995</v>
      </c>
      <c r="G83" s="20">
        <f t="shared" si="1"/>
        <v>67500</v>
      </c>
      <c r="H83" s="190">
        <f t="shared" si="0"/>
        <v>67162.5</v>
      </c>
    </row>
    <row r="84" spans="1:8" ht="31.5">
      <c r="A84" s="191" t="s">
        <v>50</v>
      </c>
      <c r="B84" s="12" t="s">
        <v>51</v>
      </c>
      <c r="C84" s="5" t="s">
        <v>8</v>
      </c>
      <c r="D84" s="5">
        <v>45</v>
      </c>
      <c r="E84" s="7">
        <v>1500</v>
      </c>
      <c r="F84" s="5">
        <v>0.995</v>
      </c>
      <c r="G84" s="20">
        <f t="shared" si="1"/>
        <v>67500</v>
      </c>
      <c r="H84" s="190">
        <f t="shared" si="0"/>
        <v>67162.5</v>
      </c>
    </row>
    <row r="85" spans="1:8" ht="31.5">
      <c r="A85" s="191" t="s">
        <v>52</v>
      </c>
      <c r="B85" s="12" t="s">
        <v>53</v>
      </c>
      <c r="C85" s="5" t="s">
        <v>8</v>
      </c>
      <c r="D85" s="5">
        <v>45</v>
      </c>
      <c r="E85" s="7">
        <v>1500</v>
      </c>
      <c r="F85" s="5">
        <v>0.995</v>
      </c>
      <c r="G85" s="20">
        <f t="shared" si="1"/>
        <v>67500</v>
      </c>
      <c r="H85" s="190">
        <f t="shared" si="0"/>
        <v>67162.5</v>
      </c>
    </row>
    <row r="86" spans="1:8" ht="31.5">
      <c r="A86" s="191" t="s">
        <v>54</v>
      </c>
      <c r="B86" s="12" t="s">
        <v>55</v>
      </c>
      <c r="C86" s="5" t="s">
        <v>8</v>
      </c>
      <c r="D86" s="5">
        <v>45</v>
      </c>
      <c r="E86" s="7">
        <v>1500</v>
      </c>
      <c r="F86" s="5">
        <v>0.995</v>
      </c>
      <c r="G86" s="20">
        <f t="shared" si="1"/>
        <v>67500</v>
      </c>
      <c r="H86" s="190">
        <f t="shared" si="0"/>
        <v>67162.5</v>
      </c>
    </row>
    <row r="87" spans="1:8" s="13" customFormat="1" ht="47.25">
      <c r="A87" s="185">
        <v>2</v>
      </c>
      <c r="B87" s="11" t="s">
        <v>56</v>
      </c>
      <c r="C87" s="155"/>
      <c r="D87" s="155"/>
      <c r="E87" s="3"/>
      <c r="F87" s="5"/>
      <c r="G87" s="25">
        <f>SUM(G88:G92)+G96</f>
        <v>969000</v>
      </c>
      <c r="H87" s="187">
        <f>SUM(H88:H91)+H92+H96</f>
        <v>964155</v>
      </c>
    </row>
    <row r="88" spans="1:8" ht="31.5">
      <c r="A88" s="191" t="s">
        <v>2</v>
      </c>
      <c r="B88" s="12" t="s">
        <v>138</v>
      </c>
      <c r="C88" s="5" t="s">
        <v>8</v>
      </c>
      <c r="D88" s="5">
        <v>80</v>
      </c>
      <c r="E88" s="7">
        <v>1500</v>
      </c>
      <c r="F88" s="5">
        <v>0.995</v>
      </c>
      <c r="G88" s="20">
        <f>D88*E88</f>
        <v>120000</v>
      </c>
      <c r="H88" s="190">
        <f t="shared" si="0"/>
        <v>119400</v>
      </c>
    </row>
    <row r="89" spans="1:8" ht="31.5">
      <c r="A89" s="191" t="s">
        <v>7</v>
      </c>
      <c r="B89" s="12" t="s">
        <v>139</v>
      </c>
      <c r="C89" s="5" t="s">
        <v>8</v>
      </c>
      <c r="D89" s="5">
        <v>80</v>
      </c>
      <c r="E89" s="7">
        <v>1500</v>
      </c>
      <c r="F89" s="5">
        <v>0.995</v>
      </c>
      <c r="G89" s="20">
        <f>D89*E89</f>
        <v>120000</v>
      </c>
      <c r="H89" s="190">
        <f t="shared" si="0"/>
        <v>119400</v>
      </c>
    </row>
    <row r="90" spans="1:8" ht="31.5">
      <c r="A90" s="191" t="s">
        <v>9</v>
      </c>
      <c r="B90" s="12" t="s">
        <v>140</v>
      </c>
      <c r="C90" s="5" t="s">
        <v>8</v>
      </c>
      <c r="D90" s="5">
        <v>120</v>
      </c>
      <c r="E90" s="7">
        <v>1500</v>
      </c>
      <c r="F90" s="5">
        <v>0.995</v>
      </c>
      <c r="G90" s="20">
        <f>D90*E90</f>
        <v>180000</v>
      </c>
      <c r="H90" s="190">
        <f t="shared" si="0"/>
        <v>179100</v>
      </c>
    </row>
    <row r="91" spans="1:8" ht="31.5">
      <c r="A91" s="191" t="s">
        <v>28</v>
      </c>
      <c r="B91" s="12" t="s">
        <v>57</v>
      </c>
      <c r="C91" s="5" t="s">
        <v>6</v>
      </c>
      <c r="D91" s="5">
        <v>120</v>
      </c>
      <c r="E91" s="7">
        <v>2000</v>
      </c>
      <c r="F91" s="5">
        <v>0.995</v>
      </c>
      <c r="G91" s="20">
        <f>D91*E91</f>
        <v>240000</v>
      </c>
      <c r="H91" s="190">
        <f t="shared" si="0"/>
        <v>238800</v>
      </c>
    </row>
    <row r="92" spans="1:8" ht="31.5">
      <c r="A92" s="191" t="s">
        <v>34</v>
      </c>
      <c r="B92" s="12" t="s">
        <v>141</v>
      </c>
      <c r="C92" s="5"/>
      <c r="D92" s="5"/>
      <c r="E92" s="7"/>
      <c r="F92" s="5"/>
      <c r="G92" s="20">
        <f>SUM(G93:G95)</f>
        <v>189000</v>
      </c>
      <c r="H92" s="190">
        <f>SUM(H93:H95)</f>
        <v>188055</v>
      </c>
    </row>
    <row r="93" spans="1:8" ht="31.5">
      <c r="A93" s="191" t="s">
        <v>36</v>
      </c>
      <c r="B93" s="12" t="s">
        <v>142</v>
      </c>
      <c r="C93" s="5" t="s">
        <v>8</v>
      </c>
      <c r="D93" s="5">
        <v>47</v>
      </c>
      <c r="E93" s="7">
        <v>1500</v>
      </c>
      <c r="F93" s="5">
        <v>0.995</v>
      </c>
      <c r="G93" s="20">
        <f>D93*E93</f>
        <v>70500</v>
      </c>
      <c r="H93" s="190">
        <f t="shared" si="0"/>
        <v>70147.5</v>
      </c>
    </row>
    <row r="94" spans="1:8" ht="31.5">
      <c r="A94" s="191" t="s">
        <v>38</v>
      </c>
      <c r="B94" s="12" t="s">
        <v>143</v>
      </c>
      <c r="C94" s="5" t="s">
        <v>8</v>
      </c>
      <c r="D94" s="5">
        <v>52</v>
      </c>
      <c r="E94" s="7">
        <v>1500</v>
      </c>
      <c r="F94" s="5">
        <v>0.995</v>
      </c>
      <c r="G94" s="20">
        <f>D94*E94</f>
        <v>78000</v>
      </c>
      <c r="H94" s="190">
        <f t="shared" si="0"/>
        <v>77610</v>
      </c>
    </row>
    <row r="95" spans="1:8" ht="31.5">
      <c r="A95" s="191" t="s">
        <v>40</v>
      </c>
      <c r="B95" s="12" t="s">
        <v>144</v>
      </c>
      <c r="C95" s="5" t="s">
        <v>8</v>
      </c>
      <c r="D95" s="5">
        <v>27</v>
      </c>
      <c r="E95" s="7">
        <v>1500</v>
      </c>
      <c r="F95" s="5">
        <v>0.995</v>
      </c>
      <c r="G95" s="20">
        <f>D95*E95</f>
        <v>40500</v>
      </c>
      <c r="H95" s="190">
        <f t="shared" si="0"/>
        <v>40297.5</v>
      </c>
    </row>
    <row r="96" spans="1:8" ht="31.5">
      <c r="A96" s="191" t="s">
        <v>73</v>
      </c>
      <c r="B96" s="12" t="s">
        <v>145</v>
      </c>
      <c r="C96" s="5" t="s">
        <v>8</v>
      </c>
      <c r="D96" s="5">
        <v>80</v>
      </c>
      <c r="E96" s="7">
        <v>1500</v>
      </c>
      <c r="F96" s="5">
        <v>0.995</v>
      </c>
      <c r="G96" s="20">
        <f>D96*E96</f>
        <v>120000</v>
      </c>
      <c r="H96" s="190">
        <f t="shared" si="0"/>
        <v>119400</v>
      </c>
    </row>
    <row r="97" spans="1:8" s="13" customFormat="1" ht="47.25">
      <c r="A97" s="185">
        <v>3</v>
      </c>
      <c r="B97" s="11" t="s">
        <v>58</v>
      </c>
      <c r="C97" s="14"/>
      <c r="D97" s="155"/>
      <c r="E97" s="3"/>
      <c r="F97" s="5"/>
      <c r="G97" s="25">
        <f>SUM(G98:G101)+G106</f>
        <v>3082000</v>
      </c>
      <c r="H97" s="187">
        <f>SUM(H98:H101)+H106</f>
        <v>3066590</v>
      </c>
    </row>
    <row r="98" spans="1:8" ht="63">
      <c r="A98" s="191" t="s">
        <v>2</v>
      </c>
      <c r="B98" s="12" t="s">
        <v>146</v>
      </c>
      <c r="C98" s="5" t="s">
        <v>8</v>
      </c>
      <c r="D98" s="5">
        <v>150</v>
      </c>
      <c r="E98" s="7">
        <v>1500</v>
      </c>
      <c r="F98" s="5">
        <v>0.995</v>
      </c>
      <c r="G98" s="20">
        <f>D98*E98</f>
        <v>225000</v>
      </c>
      <c r="H98" s="190">
        <f t="shared" si="0"/>
        <v>223875</v>
      </c>
    </row>
    <row r="99" spans="1:8" ht="63">
      <c r="A99" s="191" t="s">
        <v>7</v>
      </c>
      <c r="B99" s="12" t="s">
        <v>59</v>
      </c>
      <c r="C99" s="5" t="s">
        <v>8</v>
      </c>
      <c r="D99" s="5">
        <v>120</v>
      </c>
      <c r="E99" s="7">
        <v>1500</v>
      </c>
      <c r="F99" s="5">
        <v>0.995</v>
      </c>
      <c r="G99" s="20">
        <f>D99*E99</f>
        <v>180000</v>
      </c>
      <c r="H99" s="190">
        <f t="shared" si="0"/>
        <v>179100</v>
      </c>
    </row>
    <row r="100" spans="1:8" ht="47.25">
      <c r="A100" s="191" t="s">
        <v>9</v>
      </c>
      <c r="B100" s="12" t="s">
        <v>147</v>
      </c>
      <c r="C100" s="5" t="s">
        <v>8</v>
      </c>
      <c r="D100" s="5">
        <v>120</v>
      </c>
      <c r="E100" s="7">
        <v>1500</v>
      </c>
      <c r="F100" s="5">
        <v>0.995</v>
      </c>
      <c r="G100" s="20">
        <f>D100*E100</f>
        <v>180000</v>
      </c>
      <c r="H100" s="190">
        <f t="shared" si="0"/>
        <v>179100</v>
      </c>
    </row>
    <row r="101" spans="1:8" ht="63">
      <c r="A101" s="191" t="s">
        <v>28</v>
      </c>
      <c r="B101" s="12" t="s">
        <v>148</v>
      </c>
      <c r="C101" s="5"/>
      <c r="D101" s="5"/>
      <c r="E101" s="7"/>
      <c r="F101" s="5">
        <v>0.995</v>
      </c>
      <c r="G101" s="20">
        <f>SUM(G102:G105)</f>
        <v>1301000</v>
      </c>
      <c r="H101" s="190">
        <f>SUM(H102:H105)</f>
        <v>1294495</v>
      </c>
    </row>
    <row r="102" spans="1:8" ht="47.25">
      <c r="A102" s="191" t="s">
        <v>30</v>
      </c>
      <c r="B102" s="12" t="s">
        <v>60</v>
      </c>
      <c r="C102" s="5" t="s">
        <v>8</v>
      </c>
      <c r="D102" s="5">
        <v>72</v>
      </c>
      <c r="E102" s="7">
        <v>1500</v>
      </c>
      <c r="F102" s="5">
        <v>0.995</v>
      </c>
      <c r="G102" s="20">
        <f>D102*E102</f>
        <v>108000</v>
      </c>
      <c r="H102" s="190">
        <f t="shared" si="0"/>
        <v>107460</v>
      </c>
    </row>
    <row r="103" spans="1:8" ht="63">
      <c r="A103" s="191" t="s">
        <v>32</v>
      </c>
      <c r="B103" s="12" t="s">
        <v>61</v>
      </c>
      <c r="C103" s="5" t="s">
        <v>8</v>
      </c>
      <c r="D103" s="5">
        <v>102</v>
      </c>
      <c r="E103" s="7">
        <v>1500</v>
      </c>
      <c r="F103" s="5">
        <v>0.995</v>
      </c>
      <c r="G103" s="20">
        <f>D103*E103</f>
        <v>153000</v>
      </c>
      <c r="H103" s="190">
        <f t="shared" si="0"/>
        <v>152235</v>
      </c>
    </row>
    <row r="104" spans="1:8" ht="31.5">
      <c r="A104" s="191" t="s">
        <v>149</v>
      </c>
      <c r="B104" s="12" t="s">
        <v>62</v>
      </c>
      <c r="C104" s="5" t="s">
        <v>1</v>
      </c>
      <c r="D104" s="5">
        <v>114</v>
      </c>
      <c r="E104" s="7">
        <v>2000</v>
      </c>
      <c r="F104" s="5">
        <v>0.995</v>
      </c>
      <c r="G104" s="20">
        <f>D104*E104</f>
        <v>228000</v>
      </c>
      <c r="H104" s="190">
        <f t="shared" si="0"/>
        <v>226860</v>
      </c>
    </row>
    <row r="105" spans="1:8" ht="31.5">
      <c r="A105" s="191" t="s">
        <v>150</v>
      </c>
      <c r="B105" s="12" t="s">
        <v>151</v>
      </c>
      <c r="C105" s="5" t="s">
        <v>1</v>
      </c>
      <c r="D105" s="5">
        <v>406</v>
      </c>
      <c r="E105" s="7">
        <v>2000</v>
      </c>
      <c r="F105" s="5">
        <v>0.995</v>
      </c>
      <c r="G105" s="20">
        <f>D105*E105</f>
        <v>812000</v>
      </c>
      <c r="H105" s="190">
        <f t="shared" si="0"/>
        <v>807940</v>
      </c>
    </row>
    <row r="106" spans="1:8" ht="47.25">
      <c r="A106" s="191" t="s">
        <v>34</v>
      </c>
      <c r="B106" s="12" t="s">
        <v>152</v>
      </c>
      <c r="C106" s="5"/>
      <c r="D106" s="5"/>
      <c r="E106" s="7"/>
      <c r="F106" s="5"/>
      <c r="G106" s="20">
        <f>SUM(G107:G108)</f>
        <v>1196000</v>
      </c>
      <c r="H106" s="190">
        <f>H107+H108</f>
        <v>1190020</v>
      </c>
    </row>
    <row r="107" spans="1:8" ht="31.5">
      <c r="A107" s="191" t="s">
        <v>36</v>
      </c>
      <c r="B107" s="12" t="s">
        <v>153</v>
      </c>
      <c r="C107" s="5" t="s">
        <v>1</v>
      </c>
      <c r="D107" s="5">
        <v>222</v>
      </c>
      <c r="E107" s="7">
        <v>2000</v>
      </c>
      <c r="F107" s="5">
        <v>0.995</v>
      </c>
      <c r="G107" s="20">
        <f>D107*E107</f>
        <v>444000</v>
      </c>
      <c r="H107" s="190">
        <f t="shared" si="0"/>
        <v>441780</v>
      </c>
    </row>
    <row r="108" spans="1:8" ht="31.5">
      <c r="A108" s="191" t="s">
        <v>38</v>
      </c>
      <c r="B108" s="12" t="s">
        <v>63</v>
      </c>
      <c r="C108" s="5" t="s">
        <v>1</v>
      </c>
      <c r="D108" s="5">
        <v>376</v>
      </c>
      <c r="E108" s="7">
        <v>2000</v>
      </c>
      <c r="F108" s="5">
        <v>0.995</v>
      </c>
      <c r="G108" s="20">
        <f>D108*E108</f>
        <v>752000</v>
      </c>
      <c r="H108" s="190">
        <f t="shared" si="0"/>
        <v>748240</v>
      </c>
    </row>
    <row r="109" spans="1:8" s="13" customFormat="1" ht="31.5">
      <c r="A109" s="185">
        <v>4</v>
      </c>
      <c r="B109" s="11" t="s">
        <v>66</v>
      </c>
      <c r="C109" s="14"/>
      <c r="D109" s="155"/>
      <c r="E109" s="3"/>
      <c r="F109" s="5"/>
      <c r="G109" s="25">
        <f>G110+G113+G116+G117+G124</f>
        <v>784000</v>
      </c>
      <c r="H109" s="187">
        <f>H110+H113+H116+H117+H124</f>
        <v>780080</v>
      </c>
    </row>
    <row r="110" spans="1:8" ht="31.5">
      <c r="A110" s="191" t="s">
        <v>2</v>
      </c>
      <c r="B110" s="12" t="s">
        <v>67</v>
      </c>
      <c r="C110" s="4"/>
      <c r="D110" s="5"/>
      <c r="E110" s="7"/>
      <c r="F110" s="5"/>
      <c r="G110" s="20">
        <f>SUM(G111:G112)</f>
        <v>146000</v>
      </c>
      <c r="H110" s="190">
        <f>H111+H112</f>
        <v>145270</v>
      </c>
    </row>
    <row r="111" spans="1:8" ht="31.5">
      <c r="A111" s="191" t="s">
        <v>3</v>
      </c>
      <c r="B111" s="12" t="s">
        <v>154</v>
      </c>
      <c r="C111" s="5" t="s">
        <v>6</v>
      </c>
      <c r="D111" s="5">
        <v>33</v>
      </c>
      <c r="E111" s="7">
        <v>2000</v>
      </c>
      <c r="F111" s="5">
        <v>0.995</v>
      </c>
      <c r="G111" s="20">
        <f>D111*E111</f>
        <v>66000</v>
      </c>
      <c r="H111" s="190">
        <f t="shared" si="0"/>
        <v>65670</v>
      </c>
    </row>
    <row r="112" spans="1:8" ht="94.5">
      <c r="A112" s="191" t="s">
        <v>5</v>
      </c>
      <c r="B112" s="12" t="s">
        <v>155</v>
      </c>
      <c r="C112" s="5" t="s">
        <v>6</v>
      </c>
      <c r="D112" s="5">
        <v>40</v>
      </c>
      <c r="E112" s="7">
        <v>2000</v>
      </c>
      <c r="F112" s="5">
        <v>0.995</v>
      </c>
      <c r="G112" s="20">
        <f>D112*E112</f>
        <v>80000</v>
      </c>
      <c r="H112" s="190">
        <f t="shared" si="0"/>
        <v>79600</v>
      </c>
    </row>
    <row r="113" spans="1:8" ht="31.5">
      <c r="A113" s="191" t="s">
        <v>7</v>
      </c>
      <c r="B113" s="12" t="s">
        <v>156</v>
      </c>
      <c r="C113" s="5"/>
      <c r="D113" s="5"/>
      <c r="E113" s="7"/>
      <c r="F113" s="5">
        <v>0.995</v>
      </c>
      <c r="G113" s="20">
        <f>SUM(G114:G115)</f>
        <v>192000</v>
      </c>
      <c r="H113" s="190">
        <f>H114+H115</f>
        <v>191040</v>
      </c>
    </row>
    <row r="114" spans="1:8" ht="31.5">
      <c r="A114" s="191" t="s">
        <v>13</v>
      </c>
      <c r="B114" s="12" t="s">
        <v>64</v>
      </c>
      <c r="C114" s="5" t="s">
        <v>6</v>
      </c>
      <c r="D114" s="5">
        <v>48</v>
      </c>
      <c r="E114" s="7">
        <v>2000</v>
      </c>
      <c r="F114" s="5">
        <v>0.995</v>
      </c>
      <c r="G114" s="20">
        <f>D114*E114</f>
        <v>96000</v>
      </c>
      <c r="H114" s="190">
        <f t="shared" si="0"/>
        <v>95520</v>
      </c>
    </row>
    <row r="115" spans="1:8" ht="31.5">
      <c r="A115" s="191" t="s">
        <v>15</v>
      </c>
      <c r="B115" s="12" t="s">
        <v>65</v>
      </c>
      <c r="C115" s="5" t="s">
        <v>6</v>
      </c>
      <c r="D115" s="5">
        <v>48</v>
      </c>
      <c r="E115" s="7">
        <v>2000</v>
      </c>
      <c r="F115" s="5">
        <v>0.995</v>
      </c>
      <c r="G115" s="20">
        <f>D115*E115</f>
        <v>96000</v>
      </c>
      <c r="H115" s="190">
        <f t="shared" si="0"/>
        <v>95520</v>
      </c>
    </row>
    <row r="116" spans="1:8" ht="47.25">
      <c r="A116" s="191" t="s">
        <v>205</v>
      </c>
      <c r="B116" s="12" t="s">
        <v>206</v>
      </c>
      <c r="C116" s="5" t="s">
        <v>6</v>
      </c>
      <c r="D116" s="5">
        <v>35</v>
      </c>
      <c r="E116" s="7">
        <v>2000</v>
      </c>
      <c r="F116" s="5">
        <v>0.995</v>
      </c>
      <c r="G116" s="20">
        <f>D116*E116</f>
        <v>70000</v>
      </c>
      <c r="H116" s="190">
        <f t="shared" si="0"/>
        <v>69650</v>
      </c>
    </row>
    <row r="117" spans="1:8" ht="78.75">
      <c r="A117" s="191" t="s">
        <v>28</v>
      </c>
      <c r="B117" s="12" t="s">
        <v>157</v>
      </c>
      <c r="C117" s="5"/>
      <c r="D117" s="5"/>
      <c r="E117" s="7"/>
      <c r="F117" s="5"/>
      <c r="G117" s="20">
        <f>SUM(G118:G123)</f>
        <v>306000</v>
      </c>
      <c r="H117" s="190">
        <f>SUM(H118:H123)</f>
        <v>304470</v>
      </c>
    </row>
    <row r="118" spans="1:8" ht="47.25">
      <c r="A118" s="191" t="s">
        <v>30</v>
      </c>
      <c r="B118" s="12" t="s">
        <v>158</v>
      </c>
      <c r="C118" s="5" t="s">
        <v>4</v>
      </c>
      <c r="D118" s="5">
        <v>33</v>
      </c>
      <c r="E118" s="7">
        <v>1500</v>
      </c>
      <c r="F118" s="5">
        <v>0.995</v>
      </c>
      <c r="G118" s="20">
        <f aca="true" t="shared" si="2" ref="G118:G124">D118*E118</f>
        <v>49500</v>
      </c>
      <c r="H118" s="190">
        <f t="shared" si="0"/>
        <v>49252.5</v>
      </c>
    </row>
    <row r="119" spans="1:8" ht="47.25">
      <c r="A119" s="191" t="s">
        <v>32</v>
      </c>
      <c r="B119" s="12" t="s">
        <v>159</v>
      </c>
      <c r="C119" s="5" t="s">
        <v>4</v>
      </c>
      <c r="D119" s="5">
        <v>33</v>
      </c>
      <c r="E119" s="7">
        <v>1500</v>
      </c>
      <c r="F119" s="5">
        <v>0.995</v>
      </c>
      <c r="G119" s="20">
        <f t="shared" si="2"/>
        <v>49500</v>
      </c>
      <c r="H119" s="190">
        <f t="shared" si="0"/>
        <v>49252.5</v>
      </c>
    </row>
    <row r="120" spans="1:8" ht="63">
      <c r="A120" s="191" t="s">
        <v>149</v>
      </c>
      <c r="B120" s="12" t="s">
        <v>160</v>
      </c>
      <c r="C120" s="5" t="s">
        <v>4</v>
      </c>
      <c r="D120" s="5">
        <v>33</v>
      </c>
      <c r="E120" s="7">
        <v>1500</v>
      </c>
      <c r="F120" s="5">
        <v>0.995</v>
      </c>
      <c r="G120" s="20">
        <f t="shared" si="2"/>
        <v>49500</v>
      </c>
      <c r="H120" s="190">
        <f t="shared" si="0"/>
        <v>49252.5</v>
      </c>
    </row>
    <row r="121" spans="1:8" ht="15.75">
      <c r="A121" s="191" t="s">
        <v>150</v>
      </c>
      <c r="B121" s="12" t="s">
        <v>69</v>
      </c>
      <c r="C121" s="5" t="s">
        <v>4</v>
      </c>
      <c r="D121" s="5">
        <v>35</v>
      </c>
      <c r="E121" s="7">
        <v>1500</v>
      </c>
      <c r="F121" s="5">
        <v>0.995</v>
      </c>
      <c r="G121" s="20">
        <f t="shared" si="2"/>
        <v>52500</v>
      </c>
      <c r="H121" s="190">
        <f t="shared" si="0"/>
        <v>52237.5</v>
      </c>
    </row>
    <row r="122" spans="1:8" ht="15.75">
      <c r="A122" s="191" t="s">
        <v>161</v>
      </c>
      <c r="B122" s="12" t="s">
        <v>70</v>
      </c>
      <c r="C122" s="5" t="s">
        <v>4</v>
      </c>
      <c r="D122" s="5">
        <v>35</v>
      </c>
      <c r="E122" s="7">
        <v>1500</v>
      </c>
      <c r="F122" s="5">
        <v>0.995</v>
      </c>
      <c r="G122" s="20">
        <f t="shared" si="2"/>
        <v>52500</v>
      </c>
      <c r="H122" s="190">
        <f t="shared" si="0"/>
        <v>52237.5</v>
      </c>
    </row>
    <row r="123" spans="1:8" ht="31.5">
      <c r="A123" s="191" t="s">
        <v>162</v>
      </c>
      <c r="B123" s="12" t="s">
        <v>163</v>
      </c>
      <c r="C123" s="5" t="s">
        <v>4</v>
      </c>
      <c r="D123" s="5">
        <v>35</v>
      </c>
      <c r="E123" s="7">
        <v>1500</v>
      </c>
      <c r="F123" s="5">
        <v>0.995</v>
      </c>
      <c r="G123" s="20">
        <f t="shared" si="2"/>
        <v>52500</v>
      </c>
      <c r="H123" s="190">
        <f t="shared" si="0"/>
        <v>52237.5</v>
      </c>
    </row>
    <row r="124" spans="1:8" ht="47.25">
      <c r="A124" s="191" t="s">
        <v>34</v>
      </c>
      <c r="B124" s="12" t="s">
        <v>68</v>
      </c>
      <c r="C124" s="5" t="s">
        <v>6</v>
      </c>
      <c r="D124" s="5">
        <v>35</v>
      </c>
      <c r="E124" s="7">
        <v>2000</v>
      </c>
      <c r="F124" s="5">
        <v>0.995</v>
      </c>
      <c r="G124" s="20">
        <f t="shared" si="2"/>
        <v>70000</v>
      </c>
      <c r="H124" s="190">
        <f t="shared" si="0"/>
        <v>69650</v>
      </c>
    </row>
    <row r="125" spans="1:8" s="13" customFormat="1" ht="31.5">
      <c r="A125" s="185">
        <v>5</v>
      </c>
      <c r="B125" s="11" t="s">
        <v>164</v>
      </c>
      <c r="C125" s="14"/>
      <c r="D125" s="155"/>
      <c r="E125" s="3"/>
      <c r="F125" s="5"/>
      <c r="G125" s="25">
        <f>SUM(G126:G128)</f>
        <v>232500</v>
      </c>
      <c r="H125" s="187">
        <f>SUM(H126:H128)</f>
        <v>231337.5</v>
      </c>
    </row>
    <row r="126" spans="1:8" ht="31.5">
      <c r="A126" s="191" t="s">
        <v>2</v>
      </c>
      <c r="B126" s="12" t="s">
        <v>71</v>
      </c>
      <c r="C126" s="5" t="s">
        <v>1</v>
      </c>
      <c r="D126" s="5">
        <v>51</v>
      </c>
      <c r="E126" s="7">
        <v>2000</v>
      </c>
      <c r="F126" s="5">
        <v>0.995</v>
      </c>
      <c r="G126" s="20">
        <f>D126*E126</f>
        <v>102000</v>
      </c>
      <c r="H126" s="190">
        <f t="shared" si="0"/>
        <v>101490</v>
      </c>
    </row>
    <row r="127" spans="1:8" ht="31.5">
      <c r="A127" s="191" t="s">
        <v>7</v>
      </c>
      <c r="B127" s="12" t="s">
        <v>72</v>
      </c>
      <c r="C127" s="5" t="s">
        <v>8</v>
      </c>
      <c r="D127" s="5">
        <v>49</v>
      </c>
      <c r="E127" s="7">
        <v>1500</v>
      </c>
      <c r="F127" s="5">
        <v>0.995</v>
      </c>
      <c r="G127" s="20">
        <f>D127*E127</f>
        <v>73500</v>
      </c>
      <c r="H127" s="190">
        <f t="shared" si="0"/>
        <v>73132.5</v>
      </c>
    </row>
    <row r="128" spans="1:8" ht="31.5">
      <c r="A128" s="191" t="s">
        <v>9</v>
      </c>
      <c r="B128" s="12" t="s">
        <v>165</v>
      </c>
      <c r="C128" s="5" t="s">
        <v>8</v>
      </c>
      <c r="D128" s="5">
        <v>38</v>
      </c>
      <c r="E128" s="7">
        <v>1500</v>
      </c>
      <c r="F128" s="5">
        <v>0.995</v>
      </c>
      <c r="G128" s="20">
        <f>D128*E128</f>
        <v>57000</v>
      </c>
      <c r="H128" s="190">
        <f aca="true" t="shared" si="3" ref="H128:H191">G128*F128</f>
        <v>56715</v>
      </c>
    </row>
    <row r="129" spans="1:8" ht="31.5">
      <c r="A129" s="185">
        <v>6</v>
      </c>
      <c r="B129" s="11" t="s">
        <v>166</v>
      </c>
      <c r="C129" s="4"/>
      <c r="D129" s="5"/>
      <c r="E129" s="7"/>
      <c r="F129" s="5"/>
      <c r="G129" s="19">
        <f>SUM(G130:G134)</f>
        <v>580500</v>
      </c>
      <c r="H129" s="187">
        <f>SUM(H130:H134)</f>
        <v>577597.5</v>
      </c>
    </row>
    <row r="130" spans="1:8" ht="63">
      <c r="A130" s="191" t="s">
        <v>2</v>
      </c>
      <c r="B130" s="12" t="s">
        <v>167</v>
      </c>
      <c r="C130" s="5" t="s">
        <v>8</v>
      </c>
      <c r="D130" s="5">
        <v>59</v>
      </c>
      <c r="E130" s="7">
        <v>1500</v>
      </c>
      <c r="F130" s="5">
        <v>0.995</v>
      </c>
      <c r="G130" s="20">
        <f>D130*E130</f>
        <v>88500</v>
      </c>
      <c r="H130" s="190">
        <f t="shared" si="3"/>
        <v>88057.5</v>
      </c>
    </row>
    <row r="131" spans="1:8" ht="47.25">
      <c r="A131" s="191" t="s">
        <v>7</v>
      </c>
      <c r="B131" s="12" t="s">
        <v>168</v>
      </c>
      <c r="C131" s="5" t="s">
        <v>1</v>
      </c>
      <c r="D131" s="5">
        <v>64</v>
      </c>
      <c r="E131" s="7">
        <v>2000</v>
      </c>
      <c r="F131" s="5">
        <v>0.995</v>
      </c>
      <c r="G131" s="20">
        <f>D131*E131</f>
        <v>128000</v>
      </c>
      <c r="H131" s="190">
        <f t="shared" si="3"/>
        <v>127360</v>
      </c>
    </row>
    <row r="132" spans="1:8" ht="63">
      <c r="A132" s="191" t="s">
        <v>9</v>
      </c>
      <c r="B132" s="12" t="s">
        <v>169</v>
      </c>
      <c r="C132" s="5" t="s">
        <v>1</v>
      </c>
      <c r="D132" s="5">
        <v>59</v>
      </c>
      <c r="E132" s="7">
        <v>2000</v>
      </c>
      <c r="F132" s="5">
        <v>0.995</v>
      </c>
      <c r="G132" s="20">
        <f>D132*E132</f>
        <v>118000</v>
      </c>
      <c r="H132" s="190">
        <f t="shared" si="3"/>
        <v>117410</v>
      </c>
    </row>
    <row r="133" spans="1:8" ht="63">
      <c r="A133" s="191" t="s">
        <v>28</v>
      </c>
      <c r="B133" s="12" t="s">
        <v>207</v>
      </c>
      <c r="C133" s="5" t="s">
        <v>1</v>
      </c>
      <c r="D133" s="5">
        <v>59</v>
      </c>
      <c r="E133" s="7">
        <v>2000</v>
      </c>
      <c r="F133" s="5">
        <v>0.995</v>
      </c>
      <c r="G133" s="20">
        <f>D133*E133</f>
        <v>118000</v>
      </c>
      <c r="H133" s="190">
        <f t="shared" si="3"/>
        <v>117410</v>
      </c>
    </row>
    <row r="134" spans="1:8" ht="63">
      <c r="A134" s="191" t="s">
        <v>34</v>
      </c>
      <c r="B134" s="12" t="s">
        <v>170</v>
      </c>
      <c r="C134" s="5" t="s">
        <v>1</v>
      </c>
      <c r="D134" s="5">
        <v>64</v>
      </c>
      <c r="E134" s="7">
        <v>2000</v>
      </c>
      <c r="F134" s="5">
        <v>0.995</v>
      </c>
      <c r="G134" s="20">
        <f>D134*E134</f>
        <v>128000</v>
      </c>
      <c r="H134" s="190">
        <f t="shared" si="3"/>
        <v>127360</v>
      </c>
    </row>
    <row r="135" spans="1:8" s="13" customFormat="1" ht="47.25">
      <c r="A135" s="185">
        <v>7</v>
      </c>
      <c r="B135" s="11" t="s">
        <v>171</v>
      </c>
      <c r="C135" s="155"/>
      <c r="D135" s="155"/>
      <c r="E135" s="3"/>
      <c r="F135" s="5">
        <v>0.995</v>
      </c>
      <c r="G135" s="25">
        <f>SUM(G136:G142)</f>
        <v>1260000</v>
      </c>
      <c r="H135" s="187">
        <f>SUM(H136:H142)</f>
        <v>1253700</v>
      </c>
    </row>
    <row r="136" spans="1:8" ht="330.75">
      <c r="A136" s="191" t="s">
        <v>2</v>
      </c>
      <c r="B136" s="12" t="s">
        <v>478</v>
      </c>
      <c r="C136" s="5" t="s">
        <v>6</v>
      </c>
      <c r="D136" s="5">
        <v>120</v>
      </c>
      <c r="E136" s="7">
        <v>2000</v>
      </c>
      <c r="F136" s="5">
        <v>0.995</v>
      </c>
      <c r="G136" s="20">
        <f aca="true" t="shared" si="4" ref="G136:G142">D136*E136</f>
        <v>240000</v>
      </c>
      <c r="H136" s="190">
        <f t="shared" si="3"/>
        <v>238800</v>
      </c>
    </row>
    <row r="137" spans="1:8" ht="110.25">
      <c r="A137" s="191" t="s">
        <v>7</v>
      </c>
      <c r="B137" s="12" t="s">
        <v>245</v>
      </c>
      <c r="C137" s="5" t="s">
        <v>6</v>
      </c>
      <c r="D137" s="5">
        <v>120</v>
      </c>
      <c r="E137" s="7">
        <v>2000</v>
      </c>
      <c r="F137" s="5">
        <v>0.995</v>
      </c>
      <c r="G137" s="20">
        <f t="shared" si="4"/>
        <v>240000</v>
      </c>
      <c r="H137" s="190">
        <f t="shared" si="3"/>
        <v>238800</v>
      </c>
    </row>
    <row r="138" spans="1:8" ht="94.5">
      <c r="A138" s="191" t="s">
        <v>9</v>
      </c>
      <c r="B138" s="12" t="s">
        <v>133</v>
      </c>
      <c r="C138" s="5" t="s">
        <v>6</v>
      </c>
      <c r="D138" s="5">
        <v>75</v>
      </c>
      <c r="E138" s="7">
        <v>2000</v>
      </c>
      <c r="F138" s="5">
        <v>0.995</v>
      </c>
      <c r="G138" s="20">
        <f t="shared" si="4"/>
        <v>150000</v>
      </c>
      <c r="H138" s="190">
        <f t="shared" si="3"/>
        <v>149250</v>
      </c>
    </row>
    <row r="139" spans="1:8" ht="141.75">
      <c r="A139" s="191" t="s">
        <v>28</v>
      </c>
      <c r="B139" s="12" t="s">
        <v>134</v>
      </c>
      <c r="C139" s="5" t="s">
        <v>6</v>
      </c>
      <c r="D139" s="5">
        <v>90</v>
      </c>
      <c r="E139" s="7">
        <v>2000</v>
      </c>
      <c r="F139" s="5">
        <v>0.995</v>
      </c>
      <c r="G139" s="20">
        <f t="shared" si="4"/>
        <v>180000</v>
      </c>
      <c r="H139" s="190">
        <f t="shared" si="3"/>
        <v>179100</v>
      </c>
    </row>
    <row r="140" spans="1:8" ht="94.5">
      <c r="A140" s="191" t="s">
        <v>34</v>
      </c>
      <c r="B140" s="12" t="s">
        <v>135</v>
      </c>
      <c r="C140" s="5" t="s">
        <v>6</v>
      </c>
      <c r="D140" s="5">
        <v>75</v>
      </c>
      <c r="E140" s="7">
        <v>2000</v>
      </c>
      <c r="F140" s="5">
        <v>0.995</v>
      </c>
      <c r="G140" s="20">
        <f t="shared" si="4"/>
        <v>150000</v>
      </c>
      <c r="H140" s="190">
        <f t="shared" si="3"/>
        <v>149250</v>
      </c>
    </row>
    <row r="141" spans="1:8" ht="94.5">
      <c r="A141" s="191" t="s">
        <v>73</v>
      </c>
      <c r="B141" s="12" t="s">
        <v>136</v>
      </c>
      <c r="C141" s="5" t="s">
        <v>6</v>
      </c>
      <c r="D141" s="5">
        <v>75</v>
      </c>
      <c r="E141" s="7">
        <v>2000</v>
      </c>
      <c r="F141" s="5">
        <v>0.995</v>
      </c>
      <c r="G141" s="20">
        <f t="shared" si="4"/>
        <v>150000</v>
      </c>
      <c r="H141" s="190">
        <f t="shared" si="3"/>
        <v>149250</v>
      </c>
    </row>
    <row r="142" spans="1:8" ht="126">
      <c r="A142" s="191" t="s">
        <v>74</v>
      </c>
      <c r="B142" s="12" t="s">
        <v>137</v>
      </c>
      <c r="C142" s="5" t="s">
        <v>6</v>
      </c>
      <c r="D142" s="5">
        <v>75</v>
      </c>
      <c r="E142" s="7">
        <v>2000</v>
      </c>
      <c r="F142" s="5">
        <v>0.995</v>
      </c>
      <c r="G142" s="20">
        <f t="shared" si="4"/>
        <v>150000</v>
      </c>
      <c r="H142" s="190">
        <f t="shared" si="3"/>
        <v>149250</v>
      </c>
    </row>
    <row r="143" spans="1:8" s="13" customFormat="1" ht="47.25">
      <c r="A143" s="185">
        <v>8</v>
      </c>
      <c r="B143" s="11" t="s">
        <v>172</v>
      </c>
      <c r="C143" s="155"/>
      <c r="D143" s="155"/>
      <c r="E143" s="3"/>
      <c r="F143" s="5"/>
      <c r="G143" s="25">
        <f>SUM(G144:G151)</f>
        <v>1269000</v>
      </c>
      <c r="H143" s="187">
        <f>SUM(H144:H151)</f>
        <v>1262655</v>
      </c>
    </row>
    <row r="144" spans="1:8" ht="31.5">
      <c r="A144" s="191" t="s">
        <v>2</v>
      </c>
      <c r="B144" s="12" t="s">
        <v>76</v>
      </c>
      <c r="C144" s="5" t="s">
        <v>1</v>
      </c>
      <c r="D144" s="5">
        <v>68</v>
      </c>
      <c r="E144" s="7">
        <v>2000</v>
      </c>
      <c r="F144" s="5">
        <v>0.995</v>
      </c>
      <c r="G144" s="20">
        <f>D144*E144</f>
        <v>136000</v>
      </c>
      <c r="H144" s="190">
        <f t="shared" si="3"/>
        <v>135320</v>
      </c>
    </row>
    <row r="145" spans="1:8" ht="290.25" customHeight="1">
      <c r="A145" s="191" t="s">
        <v>7</v>
      </c>
      <c r="B145" s="12" t="s">
        <v>173</v>
      </c>
      <c r="C145" s="5" t="s">
        <v>1</v>
      </c>
      <c r="D145" s="5">
        <v>68</v>
      </c>
      <c r="E145" s="7">
        <v>2000</v>
      </c>
      <c r="F145" s="5">
        <v>0.995</v>
      </c>
      <c r="G145" s="20">
        <f aca="true" t="shared" si="5" ref="G145:G151">D145*E145</f>
        <v>136000</v>
      </c>
      <c r="H145" s="190">
        <f t="shared" si="3"/>
        <v>135320</v>
      </c>
    </row>
    <row r="146" spans="1:8" ht="94.5">
      <c r="A146" s="191" t="s">
        <v>9</v>
      </c>
      <c r="B146" s="12" t="s">
        <v>174</v>
      </c>
      <c r="C146" s="5" t="s">
        <v>8</v>
      </c>
      <c r="D146" s="5">
        <v>77</v>
      </c>
      <c r="E146" s="7">
        <v>1500</v>
      </c>
      <c r="F146" s="5">
        <v>0.995</v>
      </c>
      <c r="G146" s="20">
        <f t="shared" si="5"/>
        <v>115500</v>
      </c>
      <c r="H146" s="190">
        <f t="shared" si="3"/>
        <v>114922.5</v>
      </c>
    </row>
    <row r="147" spans="1:8" ht="47.25">
      <c r="A147" s="191" t="s">
        <v>28</v>
      </c>
      <c r="B147" s="12" t="s">
        <v>175</v>
      </c>
      <c r="C147" s="5" t="s">
        <v>8</v>
      </c>
      <c r="D147" s="5">
        <v>90</v>
      </c>
      <c r="E147" s="7">
        <v>1500</v>
      </c>
      <c r="F147" s="5">
        <v>0.995</v>
      </c>
      <c r="G147" s="20">
        <f t="shared" si="5"/>
        <v>135000</v>
      </c>
      <c r="H147" s="190">
        <f t="shared" si="3"/>
        <v>134325</v>
      </c>
    </row>
    <row r="148" spans="1:8" ht="94.5">
      <c r="A148" s="191" t="s">
        <v>34</v>
      </c>
      <c r="B148" s="12" t="s">
        <v>77</v>
      </c>
      <c r="C148" s="5" t="s">
        <v>8</v>
      </c>
      <c r="D148" s="5">
        <v>77</v>
      </c>
      <c r="E148" s="7">
        <v>1500</v>
      </c>
      <c r="F148" s="5">
        <v>0.995</v>
      </c>
      <c r="G148" s="20">
        <f t="shared" si="5"/>
        <v>115500</v>
      </c>
      <c r="H148" s="190">
        <f t="shared" si="3"/>
        <v>114922.5</v>
      </c>
    </row>
    <row r="149" spans="1:8" ht="78.75">
      <c r="A149" s="191" t="s">
        <v>73</v>
      </c>
      <c r="B149" s="12" t="s">
        <v>78</v>
      </c>
      <c r="C149" s="5" t="s">
        <v>8</v>
      </c>
      <c r="D149" s="5">
        <v>77</v>
      </c>
      <c r="E149" s="7">
        <v>1500</v>
      </c>
      <c r="F149" s="5">
        <v>0.995</v>
      </c>
      <c r="G149" s="20">
        <f t="shared" si="5"/>
        <v>115500</v>
      </c>
      <c r="H149" s="190">
        <f t="shared" si="3"/>
        <v>114922.5</v>
      </c>
    </row>
    <row r="150" spans="1:8" ht="47.25">
      <c r="A150" s="191" t="s">
        <v>74</v>
      </c>
      <c r="B150" s="12" t="s">
        <v>79</v>
      </c>
      <c r="C150" s="5" t="s">
        <v>8</v>
      </c>
      <c r="D150" s="5">
        <v>77</v>
      </c>
      <c r="E150" s="7">
        <v>1500</v>
      </c>
      <c r="F150" s="5">
        <v>0.995</v>
      </c>
      <c r="G150" s="20">
        <f t="shared" si="5"/>
        <v>115500</v>
      </c>
      <c r="H150" s="190">
        <f t="shared" si="3"/>
        <v>114922.5</v>
      </c>
    </row>
    <row r="151" spans="1:8" ht="31.5">
      <c r="A151" s="191" t="s">
        <v>75</v>
      </c>
      <c r="B151" s="12" t="s">
        <v>80</v>
      </c>
      <c r="C151" s="5" t="s">
        <v>1</v>
      </c>
      <c r="D151" s="5">
        <v>200</v>
      </c>
      <c r="E151" s="7">
        <v>2000</v>
      </c>
      <c r="F151" s="5">
        <v>0.995</v>
      </c>
      <c r="G151" s="20">
        <f t="shared" si="5"/>
        <v>400000</v>
      </c>
      <c r="H151" s="190">
        <f t="shared" si="3"/>
        <v>398000</v>
      </c>
    </row>
    <row r="152" spans="1:8" s="13" customFormat="1" ht="31.5">
      <c r="A152" s="185">
        <v>9</v>
      </c>
      <c r="B152" s="11" t="s">
        <v>176</v>
      </c>
      <c r="C152" s="14"/>
      <c r="D152" s="155"/>
      <c r="E152" s="3"/>
      <c r="F152" s="5"/>
      <c r="G152" s="25">
        <f>SUM(G153:G155)</f>
        <v>364500</v>
      </c>
      <c r="H152" s="187">
        <f>SUM(H153:H155)</f>
        <v>362677.5</v>
      </c>
    </row>
    <row r="153" spans="1:8" ht="31.5">
      <c r="A153" s="191" t="s">
        <v>2</v>
      </c>
      <c r="B153" s="12" t="s">
        <v>81</v>
      </c>
      <c r="C153" s="5" t="s">
        <v>8</v>
      </c>
      <c r="D153" s="5">
        <v>73</v>
      </c>
      <c r="E153" s="7">
        <v>1500</v>
      </c>
      <c r="F153" s="5">
        <v>0.995</v>
      </c>
      <c r="G153" s="20">
        <f>D153*E153</f>
        <v>109500</v>
      </c>
      <c r="H153" s="190">
        <f t="shared" si="3"/>
        <v>108952.5</v>
      </c>
    </row>
    <row r="154" spans="1:8" ht="47.25">
      <c r="A154" s="191" t="s">
        <v>7</v>
      </c>
      <c r="B154" s="12" t="s">
        <v>82</v>
      </c>
      <c r="C154" s="5" t="s">
        <v>8</v>
      </c>
      <c r="D154" s="5">
        <v>70</v>
      </c>
      <c r="E154" s="7">
        <v>1500</v>
      </c>
      <c r="F154" s="5">
        <v>0.995</v>
      </c>
      <c r="G154" s="20">
        <f>D154*E154</f>
        <v>105000</v>
      </c>
      <c r="H154" s="190">
        <f t="shared" si="3"/>
        <v>104475</v>
      </c>
    </row>
    <row r="155" spans="1:8" ht="31.5">
      <c r="A155" s="191" t="s">
        <v>9</v>
      </c>
      <c r="B155" s="12" t="s">
        <v>83</v>
      </c>
      <c r="C155" s="5" t="s">
        <v>1</v>
      </c>
      <c r="D155" s="5">
        <v>75</v>
      </c>
      <c r="E155" s="7">
        <v>2000</v>
      </c>
      <c r="F155" s="5">
        <v>0.995</v>
      </c>
      <c r="G155" s="20">
        <f>D155*E155</f>
        <v>150000</v>
      </c>
      <c r="H155" s="190">
        <f t="shared" si="3"/>
        <v>149250</v>
      </c>
    </row>
    <row r="156" spans="1:8" s="13" customFormat="1" ht="47.25">
      <c r="A156" s="185">
        <v>10</v>
      </c>
      <c r="B156" s="11" t="s">
        <v>177</v>
      </c>
      <c r="C156" s="14"/>
      <c r="D156" s="155"/>
      <c r="E156" s="3"/>
      <c r="F156" s="5"/>
      <c r="G156" s="25">
        <f>SUM(G157:G163)</f>
        <v>1014500</v>
      </c>
      <c r="H156" s="187">
        <f>SUM(H157:H163)</f>
        <v>1009427.5</v>
      </c>
    </row>
    <row r="157" spans="1:8" ht="47.25">
      <c r="A157" s="191" t="s">
        <v>2</v>
      </c>
      <c r="B157" s="12" t="s">
        <v>84</v>
      </c>
      <c r="C157" s="5" t="s">
        <v>8</v>
      </c>
      <c r="D157" s="5">
        <v>82</v>
      </c>
      <c r="E157" s="7">
        <v>1500</v>
      </c>
      <c r="F157" s="5">
        <v>0.995</v>
      </c>
      <c r="G157" s="20">
        <f>D157*E157</f>
        <v>123000</v>
      </c>
      <c r="H157" s="190">
        <f t="shared" si="3"/>
        <v>122385</v>
      </c>
    </row>
    <row r="158" spans="1:8" ht="63">
      <c r="A158" s="191" t="s">
        <v>7</v>
      </c>
      <c r="B158" s="12" t="s">
        <v>85</v>
      </c>
      <c r="C158" s="5" t="s">
        <v>8</v>
      </c>
      <c r="D158" s="5">
        <v>163</v>
      </c>
      <c r="E158" s="7">
        <v>1500</v>
      </c>
      <c r="F158" s="5">
        <v>0.995</v>
      </c>
      <c r="G158" s="20">
        <f aca="true" t="shared" si="6" ref="G158:G163">D158*E158</f>
        <v>244500</v>
      </c>
      <c r="H158" s="190">
        <f t="shared" si="3"/>
        <v>243277.5</v>
      </c>
    </row>
    <row r="159" spans="1:8" ht="141.75">
      <c r="A159" s="191" t="s">
        <v>9</v>
      </c>
      <c r="B159" s="12" t="s">
        <v>86</v>
      </c>
      <c r="C159" s="5" t="s">
        <v>1</v>
      </c>
      <c r="D159" s="5">
        <v>68</v>
      </c>
      <c r="E159" s="7">
        <v>2000</v>
      </c>
      <c r="F159" s="5">
        <v>0.995</v>
      </c>
      <c r="G159" s="20">
        <f t="shared" si="6"/>
        <v>136000</v>
      </c>
      <c r="H159" s="190">
        <f t="shared" si="3"/>
        <v>135320</v>
      </c>
    </row>
    <row r="160" spans="1:8" ht="94.5">
      <c r="A160" s="191" t="s">
        <v>28</v>
      </c>
      <c r="B160" s="12" t="s">
        <v>178</v>
      </c>
      <c r="C160" s="5" t="s">
        <v>1</v>
      </c>
      <c r="D160" s="5">
        <v>68</v>
      </c>
      <c r="E160" s="7">
        <v>2000</v>
      </c>
      <c r="F160" s="5">
        <v>0.995</v>
      </c>
      <c r="G160" s="20">
        <f t="shared" si="6"/>
        <v>136000</v>
      </c>
      <c r="H160" s="190">
        <f t="shared" si="3"/>
        <v>135320</v>
      </c>
    </row>
    <row r="161" spans="1:8" ht="78.75">
      <c r="A161" s="191" t="s">
        <v>34</v>
      </c>
      <c r="B161" s="12" t="s">
        <v>179</v>
      </c>
      <c r="C161" s="5" t="s">
        <v>8</v>
      </c>
      <c r="D161" s="5">
        <v>90</v>
      </c>
      <c r="E161" s="7">
        <v>1500</v>
      </c>
      <c r="F161" s="5">
        <v>0.995</v>
      </c>
      <c r="G161" s="20">
        <f t="shared" si="6"/>
        <v>135000</v>
      </c>
      <c r="H161" s="190">
        <f t="shared" si="3"/>
        <v>134325</v>
      </c>
    </row>
    <row r="162" spans="1:8" ht="47.25">
      <c r="A162" s="191" t="s">
        <v>73</v>
      </c>
      <c r="B162" s="12" t="s">
        <v>87</v>
      </c>
      <c r="C162" s="5" t="s">
        <v>8</v>
      </c>
      <c r="D162" s="5">
        <v>90</v>
      </c>
      <c r="E162" s="7">
        <v>1500</v>
      </c>
      <c r="F162" s="5">
        <v>0.995</v>
      </c>
      <c r="G162" s="20">
        <f t="shared" si="6"/>
        <v>135000</v>
      </c>
      <c r="H162" s="190">
        <f t="shared" si="3"/>
        <v>134325</v>
      </c>
    </row>
    <row r="163" spans="1:8" ht="31.5">
      <c r="A163" s="191" t="s">
        <v>74</v>
      </c>
      <c r="B163" s="12" t="s">
        <v>88</v>
      </c>
      <c r="C163" s="5" t="s">
        <v>8</v>
      </c>
      <c r="D163" s="5">
        <v>70</v>
      </c>
      <c r="E163" s="7">
        <v>1500</v>
      </c>
      <c r="F163" s="5">
        <v>0.995</v>
      </c>
      <c r="G163" s="20">
        <f t="shared" si="6"/>
        <v>105000</v>
      </c>
      <c r="H163" s="190">
        <f t="shared" si="3"/>
        <v>104475</v>
      </c>
    </row>
    <row r="164" spans="1:8" s="13" customFormat="1" ht="31.5">
      <c r="A164" s="185">
        <v>11</v>
      </c>
      <c r="B164" s="11" t="s">
        <v>89</v>
      </c>
      <c r="C164" s="155"/>
      <c r="D164" s="155"/>
      <c r="E164" s="3"/>
      <c r="F164" s="5"/>
      <c r="G164" s="25">
        <f>G165+G166</f>
        <v>240000</v>
      </c>
      <c r="H164" s="187">
        <f>H165+H166</f>
        <v>238800</v>
      </c>
    </row>
    <row r="165" spans="1:8" ht="31.5">
      <c r="A165" s="191" t="s">
        <v>2</v>
      </c>
      <c r="B165" s="12" t="s">
        <v>90</v>
      </c>
      <c r="C165" s="5" t="s">
        <v>8</v>
      </c>
      <c r="D165" s="5">
        <v>70</v>
      </c>
      <c r="E165" s="7">
        <v>1500</v>
      </c>
      <c r="F165" s="5">
        <v>0.995</v>
      </c>
      <c r="G165" s="20">
        <f>D165*E165</f>
        <v>105000</v>
      </c>
      <c r="H165" s="190">
        <f t="shared" si="3"/>
        <v>104475</v>
      </c>
    </row>
    <row r="166" spans="1:8" ht="110.25">
      <c r="A166" s="191" t="s">
        <v>7</v>
      </c>
      <c r="B166" s="12" t="s">
        <v>91</v>
      </c>
      <c r="C166" s="5" t="s">
        <v>8</v>
      </c>
      <c r="D166" s="5">
        <v>90</v>
      </c>
      <c r="E166" s="7">
        <v>1500</v>
      </c>
      <c r="F166" s="5">
        <v>0.995</v>
      </c>
      <c r="G166" s="20">
        <f>D166*E166</f>
        <v>135000</v>
      </c>
      <c r="H166" s="190">
        <f t="shared" si="3"/>
        <v>134325</v>
      </c>
    </row>
    <row r="167" spans="1:8" s="13" customFormat="1" ht="47.25">
      <c r="A167" s="185">
        <v>12</v>
      </c>
      <c r="B167" s="11" t="s">
        <v>92</v>
      </c>
      <c r="C167" s="155"/>
      <c r="D167" s="155"/>
      <c r="E167" s="3"/>
      <c r="F167" s="5"/>
      <c r="G167" s="25">
        <f>SUM(G168:G170)</f>
        <v>285000</v>
      </c>
      <c r="H167" s="187">
        <f>SUM(H168:H170)</f>
        <v>283575</v>
      </c>
    </row>
    <row r="168" spans="1:8" ht="126">
      <c r="A168" s="191" t="s">
        <v>2</v>
      </c>
      <c r="B168" s="12" t="s">
        <v>93</v>
      </c>
      <c r="C168" s="5" t="s">
        <v>8</v>
      </c>
      <c r="D168" s="5">
        <v>95</v>
      </c>
      <c r="E168" s="7">
        <v>1500</v>
      </c>
      <c r="F168" s="5">
        <v>0.995</v>
      </c>
      <c r="G168" s="20">
        <f>D168*E168</f>
        <v>142500</v>
      </c>
      <c r="H168" s="190">
        <f t="shared" si="3"/>
        <v>141787.5</v>
      </c>
    </row>
    <row r="169" spans="1:8" ht="94.5">
      <c r="A169" s="191" t="s">
        <v>7</v>
      </c>
      <c r="B169" s="12" t="s">
        <v>94</v>
      </c>
      <c r="C169" s="5" t="s">
        <v>8</v>
      </c>
      <c r="D169" s="5">
        <v>50</v>
      </c>
      <c r="E169" s="7">
        <v>1500</v>
      </c>
      <c r="F169" s="5">
        <v>0.995</v>
      </c>
      <c r="G169" s="20">
        <f>D169*E169</f>
        <v>75000</v>
      </c>
      <c r="H169" s="190">
        <f t="shared" si="3"/>
        <v>74625</v>
      </c>
    </row>
    <row r="170" spans="1:8" ht="94.5">
      <c r="A170" s="191" t="s">
        <v>9</v>
      </c>
      <c r="B170" s="12" t="s">
        <v>95</v>
      </c>
      <c r="C170" s="5" t="s">
        <v>8</v>
      </c>
      <c r="D170" s="5">
        <v>45</v>
      </c>
      <c r="E170" s="7">
        <v>1500</v>
      </c>
      <c r="F170" s="5">
        <v>0.995</v>
      </c>
      <c r="G170" s="20">
        <f>D170*E170</f>
        <v>67500</v>
      </c>
      <c r="H170" s="190">
        <f t="shared" si="3"/>
        <v>67162.5</v>
      </c>
    </row>
    <row r="171" spans="1:8" s="13" customFormat="1" ht="31.5">
      <c r="A171" s="185">
        <v>13</v>
      </c>
      <c r="B171" s="11" t="s">
        <v>96</v>
      </c>
      <c r="C171" s="155"/>
      <c r="D171" s="155"/>
      <c r="E171" s="3"/>
      <c r="F171" s="5"/>
      <c r="G171" s="25">
        <f>SUM(G172:G175)</f>
        <v>355500</v>
      </c>
      <c r="H171" s="187">
        <f>SUM(H172:H175)</f>
        <v>353722.5</v>
      </c>
    </row>
    <row r="172" spans="1:8" ht="31.5">
      <c r="A172" s="191" t="s">
        <v>2</v>
      </c>
      <c r="B172" s="12" t="s">
        <v>97</v>
      </c>
      <c r="C172" s="5" t="s">
        <v>8</v>
      </c>
      <c r="D172" s="5">
        <v>45</v>
      </c>
      <c r="E172" s="7">
        <v>1500</v>
      </c>
      <c r="F172" s="5">
        <v>0.995</v>
      </c>
      <c r="G172" s="20">
        <f>D172*E172</f>
        <v>67500</v>
      </c>
      <c r="H172" s="190">
        <f t="shared" si="3"/>
        <v>67162.5</v>
      </c>
    </row>
    <row r="173" spans="1:8" ht="31.5">
      <c r="A173" s="191" t="s">
        <v>7</v>
      </c>
      <c r="B173" s="12" t="s">
        <v>98</v>
      </c>
      <c r="C173" s="5" t="s">
        <v>1</v>
      </c>
      <c r="D173" s="5">
        <v>84</v>
      </c>
      <c r="E173" s="7">
        <v>2000</v>
      </c>
      <c r="F173" s="5">
        <v>0.995</v>
      </c>
      <c r="G173" s="20">
        <f>D173*E173</f>
        <v>168000</v>
      </c>
      <c r="H173" s="190">
        <f t="shared" si="3"/>
        <v>167160</v>
      </c>
    </row>
    <row r="174" spans="1:8" ht="31.5">
      <c r="A174" s="191" t="s">
        <v>9</v>
      </c>
      <c r="B174" s="12" t="s">
        <v>99</v>
      </c>
      <c r="C174" s="5" t="s">
        <v>8</v>
      </c>
      <c r="D174" s="5">
        <v>35</v>
      </c>
      <c r="E174" s="7">
        <v>1500</v>
      </c>
      <c r="F174" s="5">
        <v>0.995</v>
      </c>
      <c r="G174" s="20">
        <f>D174*E174</f>
        <v>52500</v>
      </c>
      <c r="H174" s="190">
        <f t="shared" si="3"/>
        <v>52237.5</v>
      </c>
    </row>
    <row r="175" spans="1:8" ht="63">
      <c r="A175" s="191" t="s">
        <v>28</v>
      </c>
      <c r="B175" s="12" t="s">
        <v>100</v>
      </c>
      <c r="C175" s="5" t="s">
        <v>8</v>
      </c>
      <c r="D175" s="5">
        <v>45</v>
      </c>
      <c r="E175" s="7">
        <v>1500</v>
      </c>
      <c r="F175" s="5">
        <v>0.995</v>
      </c>
      <c r="G175" s="20">
        <f>D175*E175</f>
        <v>67500</v>
      </c>
      <c r="H175" s="190">
        <f t="shared" si="3"/>
        <v>67162.5</v>
      </c>
    </row>
    <row r="176" spans="1:8" s="13" customFormat="1" ht="31.5">
      <c r="A176" s="185">
        <v>14</v>
      </c>
      <c r="B176" s="11" t="s">
        <v>180</v>
      </c>
      <c r="C176" s="14"/>
      <c r="D176" s="155"/>
      <c r="E176" s="3"/>
      <c r="F176" s="5"/>
      <c r="G176" s="25">
        <f>G177+G178</f>
        <v>301000</v>
      </c>
      <c r="H176" s="187">
        <f>H177+H178</f>
        <v>299495</v>
      </c>
    </row>
    <row r="177" spans="1:8" ht="31.5">
      <c r="A177" s="191" t="s">
        <v>2</v>
      </c>
      <c r="B177" s="12" t="s">
        <v>101</v>
      </c>
      <c r="C177" s="5" t="s">
        <v>4</v>
      </c>
      <c r="D177" s="5">
        <v>35</v>
      </c>
      <c r="E177" s="7">
        <v>1500</v>
      </c>
      <c r="F177" s="5">
        <v>0.995</v>
      </c>
      <c r="G177" s="20">
        <f>D177*E177</f>
        <v>52500</v>
      </c>
      <c r="H177" s="190">
        <f t="shared" si="3"/>
        <v>52237.5</v>
      </c>
    </row>
    <row r="178" spans="1:8" ht="47.25">
      <c r="A178" s="191" t="s">
        <v>7</v>
      </c>
      <c r="B178" s="12" t="s">
        <v>102</v>
      </c>
      <c r="C178" s="4"/>
      <c r="D178" s="5"/>
      <c r="E178" s="7"/>
      <c r="F178" s="5"/>
      <c r="G178" s="20">
        <f>SUM(G179:G180)</f>
        <v>248500</v>
      </c>
      <c r="H178" s="190">
        <f>H179+H180</f>
        <v>247257.5</v>
      </c>
    </row>
    <row r="179" spans="1:8" ht="15.75">
      <c r="A179" s="191" t="s">
        <v>13</v>
      </c>
      <c r="B179" s="12" t="s">
        <v>104</v>
      </c>
      <c r="C179" s="5" t="s">
        <v>4</v>
      </c>
      <c r="D179" s="5">
        <v>95</v>
      </c>
      <c r="E179" s="7">
        <v>1500</v>
      </c>
      <c r="F179" s="5">
        <v>0.995</v>
      </c>
      <c r="G179" s="20">
        <f>D179*E179</f>
        <v>142500</v>
      </c>
      <c r="H179" s="190">
        <f t="shared" si="3"/>
        <v>141787.5</v>
      </c>
    </row>
    <row r="180" spans="1:8" ht="47.25">
      <c r="A180" s="191" t="s">
        <v>15</v>
      </c>
      <c r="B180" s="12" t="s">
        <v>181</v>
      </c>
      <c r="C180" s="5" t="s">
        <v>1</v>
      </c>
      <c r="D180" s="5">
        <v>53</v>
      </c>
      <c r="E180" s="7">
        <v>2000</v>
      </c>
      <c r="F180" s="5">
        <v>0.995</v>
      </c>
      <c r="G180" s="20">
        <f>D180*E180</f>
        <v>106000</v>
      </c>
      <c r="H180" s="190">
        <f t="shared" si="3"/>
        <v>105470</v>
      </c>
    </row>
    <row r="181" spans="1:8" s="13" customFormat="1" ht="31.5">
      <c r="A181" s="185">
        <v>15</v>
      </c>
      <c r="B181" s="11" t="s">
        <v>182</v>
      </c>
      <c r="C181" s="14"/>
      <c r="D181" s="155"/>
      <c r="E181" s="3"/>
      <c r="F181" s="5"/>
      <c r="G181" s="25">
        <f>SUM(G182:G187)</f>
        <v>570000</v>
      </c>
      <c r="H181" s="187">
        <f>SUM(H182:H187)</f>
        <v>567150</v>
      </c>
    </row>
    <row r="182" spans="1:8" ht="31.5">
      <c r="A182" s="191" t="s">
        <v>2</v>
      </c>
      <c r="B182" s="12" t="s">
        <v>183</v>
      </c>
      <c r="C182" s="5" t="s">
        <v>8</v>
      </c>
      <c r="D182" s="5">
        <v>60</v>
      </c>
      <c r="E182" s="7">
        <v>1500</v>
      </c>
      <c r="F182" s="5">
        <v>0.995</v>
      </c>
      <c r="G182" s="20">
        <f aca="true" t="shared" si="7" ref="G182:G187">D182*E182</f>
        <v>90000</v>
      </c>
      <c r="H182" s="190">
        <f t="shared" si="3"/>
        <v>89550</v>
      </c>
    </row>
    <row r="183" spans="1:8" ht="31.5">
      <c r="A183" s="191" t="s">
        <v>7</v>
      </c>
      <c r="B183" s="12" t="s">
        <v>184</v>
      </c>
      <c r="C183" s="5" t="s">
        <v>8</v>
      </c>
      <c r="D183" s="5">
        <v>60</v>
      </c>
      <c r="E183" s="7">
        <v>1500</v>
      </c>
      <c r="F183" s="5">
        <v>0.995</v>
      </c>
      <c r="G183" s="20">
        <f t="shared" si="7"/>
        <v>90000</v>
      </c>
      <c r="H183" s="190">
        <f t="shared" si="3"/>
        <v>89550</v>
      </c>
    </row>
    <row r="184" spans="1:8" ht="31.5">
      <c r="A184" s="191" t="s">
        <v>9</v>
      </c>
      <c r="B184" s="12" t="s">
        <v>185</v>
      </c>
      <c r="C184" s="5" t="s">
        <v>8</v>
      </c>
      <c r="D184" s="5">
        <v>60</v>
      </c>
      <c r="E184" s="7">
        <v>1500</v>
      </c>
      <c r="F184" s="5">
        <v>0.995</v>
      </c>
      <c r="G184" s="20">
        <f t="shared" si="7"/>
        <v>90000</v>
      </c>
      <c r="H184" s="190">
        <f t="shared" si="3"/>
        <v>89550</v>
      </c>
    </row>
    <row r="185" spans="1:8" ht="31.5">
      <c r="A185" s="191" t="s">
        <v>28</v>
      </c>
      <c r="B185" s="12" t="s">
        <v>186</v>
      </c>
      <c r="C185" s="5" t="s">
        <v>8</v>
      </c>
      <c r="D185" s="5">
        <v>60</v>
      </c>
      <c r="E185" s="7">
        <v>1500</v>
      </c>
      <c r="F185" s="5">
        <v>0.995</v>
      </c>
      <c r="G185" s="20">
        <f t="shared" si="7"/>
        <v>90000</v>
      </c>
      <c r="H185" s="190">
        <f t="shared" si="3"/>
        <v>89550</v>
      </c>
    </row>
    <row r="186" spans="1:8" ht="31.5">
      <c r="A186" s="191" t="s">
        <v>34</v>
      </c>
      <c r="B186" s="12" t="s">
        <v>187</v>
      </c>
      <c r="C186" s="5" t="s">
        <v>8</v>
      </c>
      <c r="D186" s="5">
        <v>60</v>
      </c>
      <c r="E186" s="7">
        <v>1500</v>
      </c>
      <c r="F186" s="5">
        <v>0.995</v>
      </c>
      <c r="G186" s="20">
        <f t="shared" si="7"/>
        <v>90000</v>
      </c>
      <c r="H186" s="190">
        <f t="shared" si="3"/>
        <v>89550</v>
      </c>
    </row>
    <row r="187" spans="1:8" ht="31.5">
      <c r="A187" s="191" t="s">
        <v>73</v>
      </c>
      <c r="B187" s="12" t="s">
        <v>188</v>
      </c>
      <c r="C187" s="5" t="s">
        <v>106</v>
      </c>
      <c r="D187" s="5">
        <v>60</v>
      </c>
      <c r="E187" s="7">
        <v>2000</v>
      </c>
      <c r="F187" s="5">
        <v>0.995</v>
      </c>
      <c r="G187" s="20">
        <f t="shared" si="7"/>
        <v>120000</v>
      </c>
      <c r="H187" s="190">
        <f t="shared" si="3"/>
        <v>119400</v>
      </c>
    </row>
    <row r="188" spans="1:8" s="13" customFormat="1" ht="28.5" customHeight="1">
      <c r="A188" s="185">
        <v>16</v>
      </c>
      <c r="B188" s="11" t="s">
        <v>189</v>
      </c>
      <c r="C188" s="155"/>
      <c r="D188" s="155"/>
      <c r="E188" s="3"/>
      <c r="F188" s="5"/>
      <c r="G188" s="25">
        <f>G189+G192</f>
        <v>3511000</v>
      </c>
      <c r="H188" s="187">
        <f>H189+H192</f>
        <v>3493445</v>
      </c>
    </row>
    <row r="189" spans="1:8" ht="47.25">
      <c r="A189" s="191" t="s">
        <v>2</v>
      </c>
      <c r="B189" s="12" t="s">
        <v>107</v>
      </c>
      <c r="C189" s="4"/>
      <c r="D189" s="5"/>
      <c r="E189" s="7"/>
      <c r="F189" s="5"/>
      <c r="G189" s="20">
        <f>G190+G191</f>
        <v>216000</v>
      </c>
      <c r="H189" s="190">
        <f>H190+H191</f>
        <v>214920</v>
      </c>
    </row>
    <row r="190" spans="1:8" ht="47.25">
      <c r="A190" s="191" t="s">
        <v>3</v>
      </c>
      <c r="B190" s="12" t="s">
        <v>190</v>
      </c>
      <c r="C190" s="5" t="s">
        <v>8</v>
      </c>
      <c r="D190" s="5">
        <v>72</v>
      </c>
      <c r="E190" s="7">
        <v>1500</v>
      </c>
      <c r="F190" s="5">
        <v>0.995</v>
      </c>
      <c r="G190" s="20">
        <f>D190*E190</f>
        <v>108000</v>
      </c>
      <c r="H190" s="190">
        <f t="shared" si="3"/>
        <v>107460</v>
      </c>
    </row>
    <row r="191" spans="1:8" ht="31.5">
      <c r="A191" s="191" t="s">
        <v>5</v>
      </c>
      <c r="B191" s="12" t="s">
        <v>191</v>
      </c>
      <c r="C191" s="5" t="s">
        <v>8</v>
      </c>
      <c r="D191" s="5">
        <v>72</v>
      </c>
      <c r="E191" s="7">
        <v>1500</v>
      </c>
      <c r="F191" s="5">
        <v>0.995</v>
      </c>
      <c r="G191" s="20">
        <f>D191*E191</f>
        <v>108000</v>
      </c>
      <c r="H191" s="190">
        <f t="shared" si="3"/>
        <v>107460</v>
      </c>
    </row>
    <row r="192" spans="1:8" ht="27.75" customHeight="1">
      <c r="A192" s="191" t="s">
        <v>7</v>
      </c>
      <c r="B192" s="12" t="s">
        <v>108</v>
      </c>
      <c r="C192" s="4"/>
      <c r="D192" s="5"/>
      <c r="E192" s="7"/>
      <c r="F192" s="5"/>
      <c r="G192" s="20">
        <f>SUM(G193:G204)</f>
        <v>3295000</v>
      </c>
      <c r="H192" s="190">
        <f>SUM(H193:H204)</f>
        <v>3278525</v>
      </c>
    </row>
    <row r="193" spans="1:8" ht="31.5">
      <c r="A193" s="191" t="s">
        <v>13</v>
      </c>
      <c r="B193" s="12" t="s">
        <v>192</v>
      </c>
      <c r="C193" s="5" t="s">
        <v>8</v>
      </c>
      <c r="D193" s="5">
        <v>145</v>
      </c>
      <c r="E193" s="7">
        <v>1500</v>
      </c>
      <c r="F193" s="5">
        <v>0.995</v>
      </c>
      <c r="G193" s="20">
        <f>D193*E193</f>
        <v>217500</v>
      </c>
      <c r="H193" s="190">
        <f aca="true" t="shared" si="8" ref="H193:H214">G193*F193</f>
        <v>216412.5</v>
      </c>
    </row>
    <row r="194" spans="1:8" ht="31.5">
      <c r="A194" s="191" t="s">
        <v>15</v>
      </c>
      <c r="B194" s="12" t="s">
        <v>193</v>
      </c>
      <c r="C194" s="5" t="s">
        <v>8</v>
      </c>
      <c r="D194" s="5">
        <v>145</v>
      </c>
      <c r="E194" s="7">
        <v>1500</v>
      </c>
      <c r="F194" s="5">
        <v>0.995</v>
      </c>
      <c r="G194" s="20">
        <f aca="true" t="shared" si="9" ref="G194:G204">D194*E194</f>
        <v>217500</v>
      </c>
      <c r="H194" s="190">
        <f t="shared" si="8"/>
        <v>216412.5</v>
      </c>
    </row>
    <row r="195" spans="1:8" ht="31.5">
      <c r="A195" s="191" t="s">
        <v>17</v>
      </c>
      <c r="B195" s="12" t="s">
        <v>109</v>
      </c>
      <c r="C195" s="5" t="s">
        <v>103</v>
      </c>
      <c r="D195" s="5">
        <v>172</v>
      </c>
      <c r="E195" s="7">
        <v>1000</v>
      </c>
      <c r="F195" s="5">
        <v>0.995</v>
      </c>
      <c r="G195" s="20">
        <f t="shared" si="9"/>
        <v>172000</v>
      </c>
      <c r="H195" s="190">
        <f t="shared" si="8"/>
        <v>171140</v>
      </c>
    </row>
    <row r="196" spans="1:8" ht="31.5">
      <c r="A196" s="191" t="s">
        <v>228</v>
      </c>
      <c r="B196" s="12" t="s">
        <v>194</v>
      </c>
      <c r="C196" s="5" t="s">
        <v>1</v>
      </c>
      <c r="D196" s="5">
        <v>172</v>
      </c>
      <c r="E196" s="7">
        <v>2000</v>
      </c>
      <c r="F196" s="5">
        <v>0.995</v>
      </c>
      <c r="G196" s="20">
        <f t="shared" si="9"/>
        <v>344000</v>
      </c>
      <c r="H196" s="190">
        <f t="shared" si="8"/>
        <v>342280</v>
      </c>
    </row>
    <row r="197" spans="1:8" ht="31.5">
      <c r="A197" s="191" t="s">
        <v>229</v>
      </c>
      <c r="B197" s="12" t="s">
        <v>110</v>
      </c>
      <c r="C197" s="5" t="s">
        <v>1</v>
      </c>
      <c r="D197" s="5">
        <v>172</v>
      </c>
      <c r="E197" s="7">
        <v>2000</v>
      </c>
      <c r="F197" s="5">
        <v>0.995</v>
      </c>
      <c r="G197" s="20">
        <f t="shared" si="9"/>
        <v>344000</v>
      </c>
      <c r="H197" s="190">
        <f t="shared" si="8"/>
        <v>342280</v>
      </c>
    </row>
    <row r="198" spans="1:8" ht="31.5">
      <c r="A198" s="191" t="s">
        <v>230</v>
      </c>
      <c r="B198" s="12" t="s">
        <v>195</v>
      </c>
      <c r="C198" s="5" t="s">
        <v>1</v>
      </c>
      <c r="D198" s="5">
        <v>172</v>
      </c>
      <c r="E198" s="7">
        <v>2000</v>
      </c>
      <c r="F198" s="5">
        <v>0.995</v>
      </c>
      <c r="G198" s="20">
        <f t="shared" si="9"/>
        <v>344000</v>
      </c>
      <c r="H198" s="190">
        <f t="shared" si="8"/>
        <v>342280</v>
      </c>
    </row>
    <row r="199" spans="1:8" ht="31.5">
      <c r="A199" s="191" t="s">
        <v>231</v>
      </c>
      <c r="B199" s="12" t="s">
        <v>196</v>
      </c>
      <c r="C199" s="5" t="s">
        <v>1</v>
      </c>
      <c r="D199" s="5">
        <v>172</v>
      </c>
      <c r="E199" s="7">
        <v>2000</v>
      </c>
      <c r="F199" s="5">
        <v>0.995</v>
      </c>
      <c r="G199" s="20">
        <f t="shared" si="9"/>
        <v>344000</v>
      </c>
      <c r="H199" s="190">
        <f t="shared" si="8"/>
        <v>342280</v>
      </c>
    </row>
    <row r="200" spans="1:8" ht="31.5">
      <c r="A200" s="191" t="s">
        <v>232</v>
      </c>
      <c r="B200" s="12" t="s">
        <v>197</v>
      </c>
      <c r="C200" s="5" t="s">
        <v>1</v>
      </c>
      <c r="D200" s="5">
        <v>172</v>
      </c>
      <c r="E200" s="7">
        <v>2000</v>
      </c>
      <c r="F200" s="5">
        <v>0.995</v>
      </c>
      <c r="G200" s="20">
        <f t="shared" si="9"/>
        <v>344000</v>
      </c>
      <c r="H200" s="190">
        <f t="shared" si="8"/>
        <v>342280</v>
      </c>
    </row>
    <row r="201" spans="1:8" ht="47.25">
      <c r="A201" s="191" t="s">
        <v>233</v>
      </c>
      <c r="B201" s="12" t="s">
        <v>198</v>
      </c>
      <c r="C201" s="5" t="s">
        <v>1</v>
      </c>
      <c r="D201" s="5">
        <v>172</v>
      </c>
      <c r="E201" s="7">
        <v>2000</v>
      </c>
      <c r="F201" s="5">
        <v>0.995</v>
      </c>
      <c r="G201" s="20">
        <f t="shared" si="9"/>
        <v>344000</v>
      </c>
      <c r="H201" s="190">
        <f t="shared" si="8"/>
        <v>342280</v>
      </c>
    </row>
    <row r="202" spans="1:8" ht="31.5">
      <c r="A202" s="191" t="s">
        <v>234</v>
      </c>
      <c r="B202" s="12" t="s">
        <v>199</v>
      </c>
      <c r="C202" s="5" t="s">
        <v>1</v>
      </c>
      <c r="D202" s="5">
        <v>172</v>
      </c>
      <c r="E202" s="7">
        <v>2000</v>
      </c>
      <c r="F202" s="5">
        <v>0.995</v>
      </c>
      <c r="G202" s="20">
        <f t="shared" si="9"/>
        <v>344000</v>
      </c>
      <c r="H202" s="190">
        <f t="shared" si="8"/>
        <v>342280</v>
      </c>
    </row>
    <row r="203" spans="1:8" ht="31.5">
      <c r="A203" s="191" t="s">
        <v>235</v>
      </c>
      <c r="B203" s="12" t="s">
        <v>200</v>
      </c>
      <c r="C203" s="5" t="s">
        <v>1</v>
      </c>
      <c r="D203" s="5">
        <v>85</v>
      </c>
      <c r="E203" s="7">
        <v>2000</v>
      </c>
      <c r="F203" s="5">
        <v>0.995</v>
      </c>
      <c r="G203" s="20">
        <f t="shared" si="9"/>
        <v>170000</v>
      </c>
      <c r="H203" s="190">
        <f t="shared" si="8"/>
        <v>169150</v>
      </c>
    </row>
    <row r="204" spans="1:8" ht="31.5">
      <c r="A204" s="191" t="s">
        <v>236</v>
      </c>
      <c r="B204" s="12" t="s">
        <v>201</v>
      </c>
      <c r="C204" s="5" t="s">
        <v>1</v>
      </c>
      <c r="D204" s="5">
        <v>55</v>
      </c>
      <c r="E204" s="7">
        <v>2000</v>
      </c>
      <c r="F204" s="5">
        <v>0.995</v>
      </c>
      <c r="G204" s="20">
        <f t="shared" si="9"/>
        <v>110000</v>
      </c>
      <c r="H204" s="190">
        <f t="shared" si="8"/>
        <v>109450</v>
      </c>
    </row>
    <row r="205" spans="1:8" s="13" customFormat="1" ht="24.75" customHeight="1">
      <c r="A205" s="185">
        <v>17</v>
      </c>
      <c r="B205" s="11" t="s">
        <v>111</v>
      </c>
      <c r="C205" s="155"/>
      <c r="D205" s="155"/>
      <c r="E205" s="3"/>
      <c r="F205" s="5"/>
      <c r="G205" s="25">
        <f>G206+G207</f>
        <v>1350000</v>
      </c>
      <c r="H205" s="187">
        <f>H206+H207</f>
        <v>1343250</v>
      </c>
    </row>
    <row r="206" spans="1:8" ht="31.5">
      <c r="A206" s="191" t="s">
        <v>2</v>
      </c>
      <c r="B206" s="12" t="s">
        <v>112</v>
      </c>
      <c r="C206" s="5" t="s">
        <v>1</v>
      </c>
      <c r="D206" s="5">
        <v>550</v>
      </c>
      <c r="E206" s="7">
        <v>2000</v>
      </c>
      <c r="F206" s="5">
        <v>0.995</v>
      </c>
      <c r="G206" s="20">
        <f>D206*E206</f>
        <v>1100000</v>
      </c>
      <c r="H206" s="190">
        <f t="shared" si="8"/>
        <v>1094500</v>
      </c>
    </row>
    <row r="207" spans="1:8" ht="31.5">
      <c r="A207" s="191" t="s">
        <v>7</v>
      </c>
      <c r="B207" s="12" t="s">
        <v>113</v>
      </c>
      <c r="C207" s="5" t="s">
        <v>1</v>
      </c>
      <c r="D207" s="5">
        <v>125</v>
      </c>
      <c r="E207" s="7">
        <v>2000</v>
      </c>
      <c r="F207" s="5">
        <v>0.995</v>
      </c>
      <c r="G207" s="20">
        <f>D207*E207</f>
        <v>250000</v>
      </c>
      <c r="H207" s="190">
        <f t="shared" si="8"/>
        <v>248750</v>
      </c>
    </row>
    <row r="208" spans="1:8" s="13" customFormat="1" ht="47.25">
      <c r="A208" s="185">
        <v>18</v>
      </c>
      <c r="B208" s="11" t="s">
        <v>114</v>
      </c>
      <c r="C208" s="14"/>
      <c r="D208" s="155"/>
      <c r="E208" s="3"/>
      <c r="F208" s="5"/>
      <c r="G208" s="25">
        <f>SUM(G209:G211)</f>
        <v>420000</v>
      </c>
      <c r="H208" s="187">
        <f>SUM(H209:H211)</f>
        <v>417900</v>
      </c>
    </row>
    <row r="209" spans="1:8" ht="31.5">
      <c r="A209" s="191" t="s">
        <v>2</v>
      </c>
      <c r="B209" s="12" t="s">
        <v>115</v>
      </c>
      <c r="C209" s="5" t="s">
        <v>8</v>
      </c>
      <c r="D209" s="5">
        <v>100</v>
      </c>
      <c r="E209" s="7">
        <v>1500</v>
      </c>
      <c r="F209" s="5">
        <v>0.995</v>
      </c>
      <c r="G209" s="20">
        <f>D209*E209</f>
        <v>150000</v>
      </c>
      <c r="H209" s="190">
        <f t="shared" si="8"/>
        <v>149250</v>
      </c>
    </row>
    <row r="210" spans="1:8" ht="31.5">
      <c r="A210" s="191" t="s">
        <v>7</v>
      </c>
      <c r="B210" s="12" t="s">
        <v>116</v>
      </c>
      <c r="C210" s="5" t="s">
        <v>8</v>
      </c>
      <c r="D210" s="5">
        <v>100</v>
      </c>
      <c r="E210" s="7">
        <v>1500</v>
      </c>
      <c r="F210" s="5">
        <v>0.995</v>
      </c>
      <c r="G210" s="20">
        <f>D210*E210</f>
        <v>150000</v>
      </c>
      <c r="H210" s="190">
        <f t="shared" si="8"/>
        <v>149250</v>
      </c>
    </row>
    <row r="211" spans="1:8" ht="31.5">
      <c r="A211" s="191" t="s">
        <v>9</v>
      </c>
      <c r="B211" s="12" t="s">
        <v>117</v>
      </c>
      <c r="C211" s="5" t="s">
        <v>1</v>
      </c>
      <c r="D211" s="5">
        <v>60</v>
      </c>
      <c r="E211" s="7">
        <v>2000</v>
      </c>
      <c r="F211" s="5">
        <v>0.995</v>
      </c>
      <c r="G211" s="20">
        <f>D211*E211</f>
        <v>120000</v>
      </c>
      <c r="H211" s="190">
        <f t="shared" si="8"/>
        <v>119400</v>
      </c>
    </row>
    <row r="212" spans="1:8" s="13" customFormat="1" ht="36.75" customHeight="1">
      <c r="A212" s="185">
        <v>19</v>
      </c>
      <c r="B212" s="11" t="s">
        <v>202</v>
      </c>
      <c r="C212" s="155"/>
      <c r="D212" s="155"/>
      <c r="E212" s="3"/>
      <c r="F212" s="5"/>
      <c r="G212" s="25">
        <f>G213+G214</f>
        <v>700000</v>
      </c>
      <c r="H212" s="187">
        <f>H213+H214</f>
        <v>696500</v>
      </c>
    </row>
    <row r="213" spans="1:8" ht="47.25">
      <c r="A213" s="191" t="s">
        <v>2</v>
      </c>
      <c r="B213" s="12" t="s">
        <v>203</v>
      </c>
      <c r="C213" s="5" t="s">
        <v>1</v>
      </c>
      <c r="D213" s="5">
        <v>120</v>
      </c>
      <c r="E213" s="7">
        <v>2000</v>
      </c>
      <c r="F213" s="5">
        <v>0.995</v>
      </c>
      <c r="G213" s="20">
        <f>D213*E213</f>
        <v>240000</v>
      </c>
      <c r="H213" s="190">
        <f t="shared" si="8"/>
        <v>238800</v>
      </c>
    </row>
    <row r="214" spans="1:8" ht="78.75">
      <c r="A214" s="191" t="s">
        <v>7</v>
      </c>
      <c r="B214" s="12" t="s">
        <v>204</v>
      </c>
      <c r="C214" s="5" t="s">
        <v>1</v>
      </c>
      <c r="D214" s="5">
        <v>230</v>
      </c>
      <c r="E214" s="7">
        <v>2000</v>
      </c>
      <c r="F214" s="5">
        <v>0.995</v>
      </c>
      <c r="G214" s="20">
        <f>D214*E214</f>
        <v>460000</v>
      </c>
      <c r="H214" s="190">
        <f t="shared" si="8"/>
        <v>457700</v>
      </c>
    </row>
    <row r="215" spans="1:12" ht="42" customHeight="1">
      <c r="A215" s="185" t="s">
        <v>10</v>
      </c>
      <c r="B215" s="362" t="s">
        <v>242</v>
      </c>
      <c r="C215" s="362"/>
      <c r="D215" s="22" t="s">
        <v>121</v>
      </c>
      <c r="E215" s="23" t="s">
        <v>266</v>
      </c>
      <c r="F215" s="23" t="s">
        <v>269</v>
      </c>
      <c r="G215" s="23" t="s">
        <v>267</v>
      </c>
      <c r="H215" s="194" t="s">
        <v>268</v>
      </c>
      <c r="J215" s="10"/>
      <c r="L215" s="10"/>
    </row>
    <row r="216" spans="1:12" ht="42" customHeight="1">
      <c r="A216" s="185"/>
      <c r="B216" s="364" t="s">
        <v>242</v>
      </c>
      <c r="C216" s="364"/>
      <c r="D216" s="364"/>
      <c r="E216" s="364"/>
      <c r="F216" s="364"/>
      <c r="G216" s="23"/>
      <c r="H216" s="195">
        <f>H217+H252</f>
        <v>35565337.5</v>
      </c>
      <c r="J216" s="10"/>
      <c r="L216" s="10"/>
    </row>
    <row r="217" spans="1:8" s="71" customFormat="1" ht="33.75" customHeight="1" thickBot="1">
      <c r="A217" s="128" t="s">
        <v>237</v>
      </c>
      <c r="B217" s="178" t="s">
        <v>243</v>
      </c>
      <c r="C217" s="68"/>
      <c r="D217" s="67"/>
      <c r="E217" s="67"/>
      <c r="F217" s="67"/>
      <c r="G217" s="69"/>
      <c r="H217" s="196">
        <f>SUM(H218:H251)</f>
        <v>26592431.25</v>
      </c>
    </row>
    <row r="218" spans="1:10" ht="111" thickBot="1">
      <c r="A218" s="191">
        <v>1</v>
      </c>
      <c r="B218" s="99" t="s">
        <v>433</v>
      </c>
      <c r="C218" s="5" t="s">
        <v>247</v>
      </c>
      <c r="D218" s="5">
        <v>1</v>
      </c>
      <c r="E218" s="5">
        <v>1.05</v>
      </c>
      <c r="F218" s="5">
        <f aca="true" t="shared" si="10" ref="F218:F223">D218*E218</f>
        <v>1.05</v>
      </c>
      <c r="G218" s="20">
        <v>621500</v>
      </c>
      <c r="H218" s="190">
        <f>F218*G218</f>
        <v>652575</v>
      </c>
      <c r="I218" s="218" t="s">
        <v>592</v>
      </c>
      <c r="J218" s="365" t="s">
        <v>565</v>
      </c>
    </row>
    <row r="219" spans="1:10" ht="99.75" thickBot="1">
      <c r="A219" s="191">
        <v>2</v>
      </c>
      <c r="B219" s="100" t="s">
        <v>434</v>
      </c>
      <c r="C219" s="5" t="s">
        <v>247</v>
      </c>
      <c r="D219" s="5">
        <v>1</v>
      </c>
      <c r="E219" s="5">
        <v>1.05</v>
      </c>
      <c r="F219" s="5">
        <f t="shared" si="10"/>
        <v>1.05</v>
      </c>
      <c r="G219" s="20">
        <v>621500</v>
      </c>
      <c r="H219" s="190">
        <f aca="true" t="shared" si="11" ref="H219:H247">F219*G219</f>
        <v>652575</v>
      </c>
      <c r="I219" s="219" t="s">
        <v>434</v>
      </c>
      <c r="J219" s="366"/>
    </row>
    <row r="220" spans="1:10" ht="99.75" thickBot="1">
      <c r="A220" s="191">
        <v>3</v>
      </c>
      <c r="B220" s="100" t="s">
        <v>435</v>
      </c>
      <c r="C220" s="5" t="s">
        <v>248</v>
      </c>
      <c r="D220" s="5">
        <v>1.5</v>
      </c>
      <c r="E220" s="5">
        <v>1.05</v>
      </c>
      <c r="F220" s="5">
        <f t="shared" si="10"/>
        <v>1.5750000000000002</v>
      </c>
      <c r="G220" s="20">
        <v>621500</v>
      </c>
      <c r="H220" s="190">
        <f t="shared" si="11"/>
        <v>978862.5000000001</v>
      </c>
      <c r="I220" s="220" t="s">
        <v>435</v>
      </c>
      <c r="J220" s="367"/>
    </row>
    <row r="221" spans="1:10" ht="116.25" thickBot="1">
      <c r="A221" s="191">
        <v>4</v>
      </c>
      <c r="B221" s="101" t="s">
        <v>546</v>
      </c>
      <c r="C221" s="5" t="s">
        <v>247</v>
      </c>
      <c r="D221" s="5">
        <v>1</v>
      </c>
      <c r="E221" s="5">
        <v>1.05</v>
      </c>
      <c r="F221" s="5">
        <f t="shared" si="10"/>
        <v>1.05</v>
      </c>
      <c r="G221" s="20">
        <v>621500</v>
      </c>
      <c r="H221" s="190">
        <f t="shared" si="11"/>
        <v>652575</v>
      </c>
      <c r="I221" s="219" t="s">
        <v>546</v>
      </c>
      <c r="J221" s="221" t="s">
        <v>566</v>
      </c>
    </row>
    <row r="222" spans="1:10" ht="132.75" thickBot="1">
      <c r="A222" s="191">
        <v>5</v>
      </c>
      <c r="B222" s="100" t="s">
        <v>436</v>
      </c>
      <c r="C222" s="5" t="s">
        <v>247</v>
      </c>
      <c r="D222" s="5">
        <v>1</v>
      </c>
      <c r="E222" s="5">
        <v>1.05</v>
      </c>
      <c r="F222" s="5">
        <f t="shared" si="10"/>
        <v>1.05</v>
      </c>
      <c r="G222" s="20">
        <v>621500</v>
      </c>
      <c r="H222" s="190">
        <f t="shared" si="11"/>
        <v>652575</v>
      </c>
      <c r="I222" s="219" t="s">
        <v>567</v>
      </c>
      <c r="J222" s="369" t="s">
        <v>568</v>
      </c>
    </row>
    <row r="223" spans="1:10" ht="66.75" thickBot="1">
      <c r="A223" s="191">
        <v>6</v>
      </c>
      <c r="B223" s="100" t="s">
        <v>437</v>
      </c>
      <c r="C223" s="5" t="s">
        <v>438</v>
      </c>
      <c r="D223" s="5">
        <v>0.5</v>
      </c>
      <c r="E223" s="5">
        <v>1.05</v>
      </c>
      <c r="F223" s="5">
        <f t="shared" si="10"/>
        <v>0.525</v>
      </c>
      <c r="G223" s="20">
        <v>621500</v>
      </c>
      <c r="H223" s="190">
        <f t="shared" si="11"/>
        <v>326287.5</v>
      </c>
      <c r="I223" s="222" t="s">
        <v>569</v>
      </c>
      <c r="J223" s="370"/>
    </row>
    <row r="224" spans="1:10" ht="97.5" customHeight="1" thickBot="1">
      <c r="A224" s="191">
        <v>7</v>
      </c>
      <c r="B224" s="100" t="s">
        <v>570</v>
      </c>
      <c r="C224" s="5" t="s">
        <v>247</v>
      </c>
      <c r="D224" s="5">
        <v>1</v>
      </c>
      <c r="E224" s="5">
        <v>1.05</v>
      </c>
      <c r="F224" s="5">
        <f aca="true" t="shared" si="12" ref="F224:F260">D224*E224</f>
        <v>1.05</v>
      </c>
      <c r="G224" s="20">
        <v>621500</v>
      </c>
      <c r="H224" s="190">
        <f t="shared" si="11"/>
        <v>652575</v>
      </c>
      <c r="I224" s="218" t="s">
        <v>570</v>
      </c>
      <c r="J224" s="371" t="s">
        <v>571</v>
      </c>
    </row>
    <row r="225" spans="1:10" ht="108" customHeight="1" thickBot="1">
      <c r="A225" s="191">
        <v>8</v>
      </c>
      <c r="B225" s="100" t="s">
        <v>439</v>
      </c>
      <c r="C225" s="5" t="s">
        <v>248</v>
      </c>
      <c r="D225" s="5">
        <v>1.5</v>
      </c>
      <c r="E225" s="5">
        <v>1.05</v>
      </c>
      <c r="F225" s="5">
        <f t="shared" si="12"/>
        <v>1.5750000000000002</v>
      </c>
      <c r="G225" s="20">
        <v>621500</v>
      </c>
      <c r="H225" s="190">
        <f t="shared" si="11"/>
        <v>978862.5000000001</v>
      </c>
      <c r="I225" s="219" t="s">
        <v>439</v>
      </c>
      <c r="J225" s="366"/>
    </row>
    <row r="226" spans="1:10" ht="87" customHeight="1" thickBot="1">
      <c r="A226" s="191">
        <v>9</v>
      </c>
      <c r="B226" s="102" t="s">
        <v>440</v>
      </c>
      <c r="C226" s="5" t="s">
        <v>438</v>
      </c>
      <c r="D226" s="5">
        <v>0.5</v>
      </c>
      <c r="E226" s="5">
        <v>1.05</v>
      </c>
      <c r="F226" s="5">
        <f>D226*E226</f>
        <v>0.525</v>
      </c>
      <c r="G226" s="20">
        <v>621500</v>
      </c>
      <c r="H226" s="190">
        <f t="shared" si="11"/>
        <v>326287.5</v>
      </c>
      <c r="I226" s="219" t="s">
        <v>440</v>
      </c>
      <c r="J226" s="367"/>
    </row>
    <row r="227" spans="1:10" ht="99" customHeight="1" thickBot="1">
      <c r="A227" s="191">
        <v>10</v>
      </c>
      <c r="B227" s="100" t="s">
        <v>441</v>
      </c>
      <c r="C227" s="5" t="s">
        <v>248</v>
      </c>
      <c r="D227" s="5">
        <v>1.5</v>
      </c>
      <c r="E227" s="5">
        <v>1.05</v>
      </c>
      <c r="F227" s="5">
        <f t="shared" si="12"/>
        <v>1.5750000000000002</v>
      </c>
      <c r="G227" s="20">
        <v>621500</v>
      </c>
      <c r="H227" s="190">
        <f t="shared" si="11"/>
        <v>978862.5000000001</v>
      </c>
      <c r="I227" s="219" t="s">
        <v>441</v>
      </c>
      <c r="J227" s="365" t="s">
        <v>572</v>
      </c>
    </row>
    <row r="228" spans="1:10" ht="99" customHeight="1" thickBot="1">
      <c r="A228" s="191">
        <v>11</v>
      </c>
      <c r="B228" s="102" t="s">
        <v>442</v>
      </c>
      <c r="C228" s="5" t="s">
        <v>248</v>
      </c>
      <c r="D228" s="89">
        <v>1.5</v>
      </c>
      <c r="E228" s="5">
        <v>1.05</v>
      </c>
      <c r="F228" s="89">
        <f>D228*E228</f>
        <v>1.5750000000000002</v>
      </c>
      <c r="G228" s="90">
        <v>621500</v>
      </c>
      <c r="H228" s="190">
        <f t="shared" si="11"/>
        <v>978862.5000000001</v>
      </c>
      <c r="I228" s="219" t="s">
        <v>442</v>
      </c>
      <c r="J228" s="367"/>
    </row>
    <row r="229" spans="1:10" ht="158.25" thickBot="1">
      <c r="A229" s="191">
        <v>12</v>
      </c>
      <c r="B229" s="223" t="s">
        <v>593</v>
      </c>
      <c r="C229" s="5" t="s">
        <v>248</v>
      </c>
      <c r="D229" s="5">
        <v>1.5</v>
      </c>
      <c r="E229" s="5">
        <v>1.05</v>
      </c>
      <c r="F229" s="5">
        <f t="shared" si="12"/>
        <v>1.5750000000000002</v>
      </c>
      <c r="G229" s="20">
        <v>621500</v>
      </c>
      <c r="H229" s="190">
        <f t="shared" si="11"/>
        <v>978862.5000000001</v>
      </c>
      <c r="I229" s="223" t="s">
        <v>593</v>
      </c>
      <c r="J229" s="365" t="s">
        <v>573</v>
      </c>
    </row>
    <row r="230" spans="1:10" ht="100.5" thickBot="1">
      <c r="A230" s="191">
        <v>13</v>
      </c>
      <c r="B230" s="102" t="s">
        <v>443</v>
      </c>
      <c r="C230" s="5" t="s">
        <v>247</v>
      </c>
      <c r="D230" s="5">
        <v>1</v>
      </c>
      <c r="E230" s="5">
        <v>1.05</v>
      </c>
      <c r="F230" s="5">
        <f>D230*E230</f>
        <v>1.05</v>
      </c>
      <c r="G230" s="20">
        <v>621500</v>
      </c>
      <c r="H230" s="190">
        <f t="shared" si="11"/>
        <v>652575</v>
      </c>
      <c r="I230" s="219" t="s">
        <v>574</v>
      </c>
      <c r="J230" s="367"/>
    </row>
    <row r="231" spans="1:10" ht="99.75" thickBot="1">
      <c r="A231" s="191">
        <v>14</v>
      </c>
      <c r="B231" s="100" t="s">
        <v>444</v>
      </c>
      <c r="C231" s="5" t="s">
        <v>250</v>
      </c>
      <c r="D231" s="5">
        <v>0.7</v>
      </c>
      <c r="E231" s="5">
        <v>1.05</v>
      </c>
      <c r="F231" s="5">
        <f>D231*E231</f>
        <v>0.735</v>
      </c>
      <c r="G231" s="20">
        <v>621500</v>
      </c>
      <c r="H231" s="190">
        <f t="shared" si="11"/>
        <v>456802.5</v>
      </c>
      <c r="I231" s="219" t="s">
        <v>444</v>
      </c>
      <c r="J231" s="224" t="s">
        <v>575</v>
      </c>
    </row>
    <row r="232" spans="1:10" ht="102.75" customHeight="1" thickBot="1">
      <c r="A232" s="191">
        <v>15</v>
      </c>
      <c r="B232" s="219" t="s">
        <v>594</v>
      </c>
      <c r="C232" s="5" t="s">
        <v>250</v>
      </c>
      <c r="D232" s="5">
        <v>0.7</v>
      </c>
      <c r="E232" s="5">
        <v>1.05</v>
      </c>
      <c r="F232" s="5">
        <f t="shared" si="12"/>
        <v>0.735</v>
      </c>
      <c r="G232" s="20">
        <v>621500</v>
      </c>
      <c r="H232" s="190">
        <f t="shared" si="11"/>
        <v>456802.5</v>
      </c>
      <c r="I232" s="219" t="s">
        <v>594</v>
      </c>
      <c r="J232" s="224" t="s">
        <v>576</v>
      </c>
    </row>
    <row r="233" spans="1:10" ht="101.25" customHeight="1" thickBot="1">
      <c r="A233" s="191">
        <v>16</v>
      </c>
      <c r="B233" s="103" t="s">
        <v>445</v>
      </c>
      <c r="C233" s="5" t="s">
        <v>250</v>
      </c>
      <c r="D233" s="5">
        <v>0.7</v>
      </c>
      <c r="E233" s="5">
        <v>1.05</v>
      </c>
      <c r="F233" s="5">
        <f t="shared" si="12"/>
        <v>0.735</v>
      </c>
      <c r="G233" s="20">
        <v>621500</v>
      </c>
      <c r="H233" s="190">
        <f t="shared" si="11"/>
        <v>456802.5</v>
      </c>
      <c r="I233" s="219" t="s">
        <v>445</v>
      </c>
      <c r="J233" s="225" t="s">
        <v>577</v>
      </c>
    </row>
    <row r="234" spans="1:10" ht="101.25" customHeight="1" thickBot="1">
      <c r="A234" s="191">
        <v>17</v>
      </c>
      <c r="B234" s="100" t="s">
        <v>446</v>
      </c>
      <c r="C234" s="5" t="s">
        <v>250</v>
      </c>
      <c r="D234" s="5">
        <v>0.7</v>
      </c>
      <c r="E234" s="5">
        <v>1.05</v>
      </c>
      <c r="F234" s="5">
        <f t="shared" si="12"/>
        <v>0.735</v>
      </c>
      <c r="G234" s="20">
        <v>621500</v>
      </c>
      <c r="H234" s="190">
        <f t="shared" si="11"/>
        <v>456802.5</v>
      </c>
      <c r="I234" s="219" t="s">
        <v>446</v>
      </c>
      <c r="J234" s="365" t="s">
        <v>578</v>
      </c>
    </row>
    <row r="235" spans="1:10" ht="83.25" thickBot="1">
      <c r="A235" s="191">
        <v>18</v>
      </c>
      <c r="B235" s="104" t="s">
        <v>447</v>
      </c>
      <c r="C235" s="5" t="s">
        <v>250</v>
      </c>
      <c r="D235" s="5">
        <v>0.7</v>
      </c>
      <c r="E235" s="5">
        <v>1.05</v>
      </c>
      <c r="F235" s="5">
        <f t="shared" si="12"/>
        <v>0.735</v>
      </c>
      <c r="G235" s="20">
        <v>621500</v>
      </c>
      <c r="H235" s="190">
        <f t="shared" si="11"/>
        <v>456802.5</v>
      </c>
      <c r="I235" s="219" t="s">
        <v>447</v>
      </c>
      <c r="J235" s="367"/>
    </row>
    <row r="236" spans="1:10" ht="99.75" thickBot="1">
      <c r="A236" s="191">
        <v>19</v>
      </c>
      <c r="B236" s="100" t="s">
        <v>448</v>
      </c>
      <c r="C236" s="5" t="s">
        <v>250</v>
      </c>
      <c r="D236" s="5">
        <v>0.7</v>
      </c>
      <c r="E236" s="5">
        <v>1.05</v>
      </c>
      <c r="F236" s="5">
        <f>D236*E236</f>
        <v>0.735</v>
      </c>
      <c r="G236" s="20">
        <v>621500</v>
      </c>
      <c r="H236" s="190">
        <f t="shared" si="11"/>
        <v>456802.5</v>
      </c>
      <c r="I236" s="219" t="s">
        <v>448</v>
      </c>
      <c r="J236" s="224" t="s">
        <v>579</v>
      </c>
    </row>
    <row r="237" spans="1:10" ht="66.75" thickBot="1">
      <c r="A237" s="191">
        <v>20</v>
      </c>
      <c r="B237" s="105" t="s">
        <v>449</v>
      </c>
      <c r="C237" s="5" t="s">
        <v>247</v>
      </c>
      <c r="D237" s="5">
        <v>1</v>
      </c>
      <c r="E237" s="5">
        <v>1.05</v>
      </c>
      <c r="F237" s="5">
        <f t="shared" si="12"/>
        <v>1.05</v>
      </c>
      <c r="G237" s="20">
        <v>621500</v>
      </c>
      <c r="H237" s="190">
        <f t="shared" si="11"/>
        <v>652575</v>
      </c>
      <c r="I237" s="219" t="s">
        <v>580</v>
      </c>
      <c r="J237" s="365" t="s">
        <v>581</v>
      </c>
    </row>
    <row r="238" spans="1:10" ht="83.25" thickBot="1">
      <c r="A238" s="191">
        <v>21</v>
      </c>
      <c r="B238" s="105" t="s">
        <v>450</v>
      </c>
      <c r="C238" s="5" t="s">
        <v>247</v>
      </c>
      <c r="D238" s="5">
        <v>1</v>
      </c>
      <c r="E238" s="5">
        <v>1.05</v>
      </c>
      <c r="F238" s="5">
        <f t="shared" si="12"/>
        <v>1.05</v>
      </c>
      <c r="G238" s="20">
        <v>621500</v>
      </c>
      <c r="H238" s="190">
        <f t="shared" si="11"/>
        <v>652575</v>
      </c>
      <c r="I238" s="219" t="s">
        <v>450</v>
      </c>
      <c r="J238" s="366"/>
    </row>
    <row r="239" spans="1:10" ht="63.75" thickBot="1">
      <c r="A239" s="191">
        <v>22</v>
      </c>
      <c r="B239" s="226" t="s">
        <v>582</v>
      </c>
      <c r="C239" s="5" t="s">
        <v>249</v>
      </c>
      <c r="D239" s="5">
        <v>2</v>
      </c>
      <c r="E239" s="5">
        <v>1.05</v>
      </c>
      <c r="F239" s="5">
        <f t="shared" si="12"/>
        <v>2.1</v>
      </c>
      <c r="G239" s="20">
        <v>621500</v>
      </c>
      <c r="H239" s="190">
        <f t="shared" si="11"/>
        <v>1305150</v>
      </c>
      <c r="I239" s="226" t="s">
        <v>582</v>
      </c>
      <c r="J239" s="368"/>
    </row>
    <row r="240" spans="1:10" ht="83.25" thickBot="1">
      <c r="A240" s="191">
        <v>23</v>
      </c>
      <c r="B240" s="179" t="s">
        <v>451</v>
      </c>
      <c r="C240" s="5" t="s">
        <v>452</v>
      </c>
      <c r="D240" s="5">
        <v>1.25</v>
      </c>
      <c r="E240" s="5">
        <v>1.05</v>
      </c>
      <c r="F240" s="5">
        <f t="shared" si="12"/>
        <v>1.3125</v>
      </c>
      <c r="G240" s="20">
        <v>621500</v>
      </c>
      <c r="H240" s="190">
        <f t="shared" si="11"/>
        <v>815718.75</v>
      </c>
      <c r="I240" s="219" t="s">
        <v>451</v>
      </c>
      <c r="J240" s="225" t="s">
        <v>583</v>
      </c>
    </row>
    <row r="241" spans="1:10" ht="79.5" thickBot="1">
      <c r="A241" s="191">
        <v>24</v>
      </c>
      <c r="B241" s="226" t="s">
        <v>584</v>
      </c>
      <c r="C241" s="5" t="s">
        <v>248</v>
      </c>
      <c r="D241" s="5">
        <v>1.5</v>
      </c>
      <c r="E241" s="5">
        <v>1.05</v>
      </c>
      <c r="F241" s="5">
        <f t="shared" si="12"/>
        <v>1.5750000000000002</v>
      </c>
      <c r="G241" s="20">
        <v>621500</v>
      </c>
      <c r="H241" s="190">
        <f t="shared" si="11"/>
        <v>978862.5000000001</v>
      </c>
      <c r="I241" s="226" t="s">
        <v>584</v>
      </c>
      <c r="J241" s="365" t="s">
        <v>585</v>
      </c>
    </row>
    <row r="242" spans="1:10" ht="83.25" thickBot="1">
      <c r="A242" s="191">
        <v>25</v>
      </c>
      <c r="B242" s="100" t="s">
        <v>453</v>
      </c>
      <c r="C242" s="5" t="s">
        <v>248</v>
      </c>
      <c r="D242" s="5">
        <v>1.5</v>
      </c>
      <c r="E242" s="5">
        <v>1.05</v>
      </c>
      <c r="F242" s="5">
        <f>D242*E242</f>
        <v>1.5750000000000002</v>
      </c>
      <c r="G242" s="20">
        <v>621500</v>
      </c>
      <c r="H242" s="190">
        <f t="shared" si="11"/>
        <v>978862.5000000001</v>
      </c>
      <c r="I242" s="219" t="s">
        <v>586</v>
      </c>
      <c r="J242" s="366"/>
    </row>
    <row r="243" spans="1:10" ht="62.25" customHeight="1" thickBot="1">
      <c r="A243" s="191">
        <v>26</v>
      </c>
      <c r="B243" s="100" t="s">
        <v>454</v>
      </c>
      <c r="C243" s="5" t="s">
        <v>270</v>
      </c>
      <c r="D243" s="5">
        <v>2</v>
      </c>
      <c r="E243" s="5">
        <v>1.05</v>
      </c>
      <c r="F243" s="5">
        <f>D243*E243</f>
        <v>2.1</v>
      </c>
      <c r="G243" s="20">
        <v>621500</v>
      </c>
      <c r="H243" s="190">
        <f t="shared" si="11"/>
        <v>1305150</v>
      </c>
      <c r="I243" s="219" t="s">
        <v>587</v>
      </c>
      <c r="J243" s="366"/>
    </row>
    <row r="244" spans="1:10" ht="79.5" thickBot="1">
      <c r="A244" s="197">
        <v>27</v>
      </c>
      <c r="B244" s="106" t="s">
        <v>455</v>
      </c>
      <c r="C244" s="89" t="s">
        <v>563</v>
      </c>
      <c r="D244" s="89">
        <v>2</v>
      </c>
      <c r="E244" s="89">
        <v>1.05</v>
      </c>
      <c r="F244" s="89">
        <f>D244*E244</f>
        <v>2.1</v>
      </c>
      <c r="G244" s="90">
        <v>621500</v>
      </c>
      <c r="H244" s="198">
        <f t="shared" si="11"/>
        <v>1305150</v>
      </c>
      <c r="I244" s="219" t="s">
        <v>588</v>
      </c>
      <c r="J244" s="367"/>
    </row>
    <row r="245" spans="1:10" ht="83.25" thickBot="1">
      <c r="A245" s="191">
        <v>28</v>
      </c>
      <c r="B245" s="100" t="s">
        <v>456</v>
      </c>
      <c r="C245" s="5" t="s">
        <v>248</v>
      </c>
      <c r="D245" s="5">
        <v>1.5</v>
      </c>
      <c r="E245" s="5">
        <v>1.05</v>
      </c>
      <c r="F245" s="5">
        <f>D245*E245</f>
        <v>1.5750000000000002</v>
      </c>
      <c r="G245" s="20">
        <v>621500</v>
      </c>
      <c r="H245" s="190">
        <f t="shared" si="11"/>
        <v>978862.5000000001</v>
      </c>
      <c r="I245" s="219" t="s">
        <v>456</v>
      </c>
      <c r="J245" s="365" t="s">
        <v>589</v>
      </c>
    </row>
    <row r="246" spans="1:10" ht="83.25" thickBot="1">
      <c r="A246" s="191">
        <v>29</v>
      </c>
      <c r="B246" s="100" t="s">
        <v>479</v>
      </c>
      <c r="C246" s="5" t="s">
        <v>249</v>
      </c>
      <c r="D246" s="5">
        <v>2</v>
      </c>
      <c r="E246" s="5">
        <v>1.05</v>
      </c>
      <c r="F246" s="5">
        <f>D246*E246</f>
        <v>2.1</v>
      </c>
      <c r="G246" s="20">
        <v>621500</v>
      </c>
      <c r="H246" s="190">
        <f t="shared" si="11"/>
        <v>1305150</v>
      </c>
      <c r="I246" s="219" t="s">
        <v>590</v>
      </c>
      <c r="J246" s="366"/>
    </row>
    <row r="247" spans="1:10" ht="99.75" thickBot="1">
      <c r="A247" s="191">
        <v>30</v>
      </c>
      <c r="B247" s="100" t="s">
        <v>457</v>
      </c>
      <c r="C247" s="5" t="s">
        <v>461</v>
      </c>
      <c r="D247" s="5">
        <v>0.8</v>
      </c>
      <c r="E247" s="5">
        <v>1.05</v>
      </c>
      <c r="F247" s="5">
        <f t="shared" si="12"/>
        <v>0.8400000000000001</v>
      </c>
      <c r="G247" s="20">
        <v>621500</v>
      </c>
      <c r="H247" s="190">
        <f t="shared" si="11"/>
        <v>522060.00000000006</v>
      </c>
      <c r="I247" s="219" t="s">
        <v>457</v>
      </c>
      <c r="J247" s="366"/>
    </row>
    <row r="248" spans="1:10" ht="83.25" thickBot="1">
      <c r="A248" s="191">
        <v>31</v>
      </c>
      <c r="B248" s="100" t="s">
        <v>458</v>
      </c>
      <c r="C248" s="5" t="s">
        <v>248</v>
      </c>
      <c r="D248" s="89">
        <v>1.5</v>
      </c>
      <c r="E248" s="5">
        <v>1.05</v>
      </c>
      <c r="F248" s="89">
        <f>D248*E248</f>
        <v>1.5750000000000002</v>
      </c>
      <c r="G248" s="90">
        <v>621500</v>
      </c>
      <c r="H248" s="190">
        <f>F248*G248</f>
        <v>978862.5000000001</v>
      </c>
      <c r="I248" s="219" t="s">
        <v>458</v>
      </c>
      <c r="J248" s="366"/>
    </row>
    <row r="249" spans="1:10" ht="83.25" thickBot="1">
      <c r="A249" s="191">
        <v>32</v>
      </c>
      <c r="B249" s="102" t="s">
        <v>459</v>
      </c>
      <c r="C249" s="5" t="s">
        <v>249</v>
      </c>
      <c r="D249" s="5">
        <v>2</v>
      </c>
      <c r="E249" s="5">
        <v>1.05</v>
      </c>
      <c r="F249" s="5">
        <f>D249*E249</f>
        <v>2.1</v>
      </c>
      <c r="G249" s="20">
        <v>621500</v>
      </c>
      <c r="H249" s="190">
        <f>F249*G249</f>
        <v>1305150</v>
      </c>
      <c r="I249" s="219" t="s">
        <v>459</v>
      </c>
      <c r="J249" s="366"/>
    </row>
    <row r="250" spans="1:10" ht="83.25" thickBot="1">
      <c r="A250" s="191">
        <v>33</v>
      </c>
      <c r="B250" s="100" t="s">
        <v>460</v>
      </c>
      <c r="C250" s="5" t="s">
        <v>247</v>
      </c>
      <c r="D250" s="5">
        <v>1</v>
      </c>
      <c r="E250" s="5">
        <v>1.05</v>
      </c>
      <c r="F250" s="5">
        <f>D250*E250</f>
        <v>1.05</v>
      </c>
      <c r="G250" s="20">
        <v>621500</v>
      </c>
      <c r="H250" s="190">
        <f>F250*G250</f>
        <v>652575</v>
      </c>
      <c r="I250" s="219" t="s">
        <v>460</v>
      </c>
      <c r="J250" s="368"/>
    </row>
    <row r="251" spans="1:10" ht="41.25" customHeight="1" thickBot="1">
      <c r="A251" s="227">
        <v>34</v>
      </c>
      <c r="B251" s="228" t="s">
        <v>595</v>
      </c>
      <c r="C251" s="229" t="s">
        <v>247</v>
      </c>
      <c r="D251" s="229">
        <v>1</v>
      </c>
      <c r="E251" s="229">
        <v>1.05</v>
      </c>
      <c r="F251" s="229">
        <f>D251*E251</f>
        <v>1.05</v>
      </c>
      <c r="G251" s="230">
        <v>621500</v>
      </c>
      <c r="H251" s="231">
        <f>F251*G251</f>
        <v>652575</v>
      </c>
      <c r="I251" s="228" t="s">
        <v>595</v>
      </c>
      <c r="J251" s="232" t="s">
        <v>591</v>
      </c>
    </row>
    <row r="252" spans="1:10" s="71" customFormat="1" ht="39" customHeight="1">
      <c r="A252" s="234" t="s">
        <v>238</v>
      </c>
      <c r="B252" s="235" t="s">
        <v>244</v>
      </c>
      <c r="C252" s="236"/>
      <c r="D252" s="237"/>
      <c r="E252" s="237"/>
      <c r="F252" s="238"/>
      <c r="G252" s="239"/>
      <c r="H252" s="240">
        <f>SUM(H253:H261)</f>
        <v>8972906.25</v>
      </c>
      <c r="I252" s="241"/>
      <c r="J252" s="242"/>
    </row>
    <row r="253" spans="1:10" ht="82.5">
      <c r="A253" s="191">
        <v>35</v>
      </c>
      <c r="B253" s="100" t="s">
        <v>462</v>
      </c>
      <c r="C253" s="5" t="s">
        <v>559</v>
      </c>
      <c r="D253" s="5">
        <v>2</v>
      </c>
      <c r="E253" s="5">
        <v>1.05</v>
      </c>
      <c r="F253" s="5">
        <f t="shared" si="12"/>
        <v>2.1</v>
      </c>
      <c r="G253" s="20">
        <v>621500</v>
      </c>
      <c r="H253" s="7">
        <f aca="true" t="shared" si="13" ref="H253:H260">F253*G253</f>
        <v>1305150</v>
      </c>
      <c r="I253" s="233"/>
      <c r="J253" s="243" t="s">
        <v>596</v>
      </c>
    </row>
    <row r="254" spans="1:10" ht="82.5">
      <c r="A254" s="191">
        <v>36</v>
      </c>
      <c r="B254" s="100" t="s">
        <v>463</v>
      </c>
      <c r="C254" s="5" t="s">
        <v>560</v>
      </c>
      <c r="D254" s="5">
        <v>1.75</v>
      </c>
      <c r="E254" s="5">
        <v>1.05</v>
      </c>
      <c r="F254" s="5">
        <f t="shared" si="12"/>
        <v>1.8375000000000001</v>
      </c>
      <c r="G254" s="20">
        <v>621500</v>
      </c>
      <c r="H254" s="7">
        <f t="shared" si="13"/>
        <v>1142006.25</v>
      </c>
      <c r="I254" s="233"/>
      <c r="J254" s="244" t="s">
        <v>604</v>
      </c>
    </row>
    <row r="255" spans="1:10" ht="82.5">
      <c r="A255" s="191">
        <v>37</v>
      </c>
      <c r="B255" s="100" t="s">
        <v>464</v>
      </c>
      <c r="C255" s="5" t="s">
        <v>560</v>
      </c>
      <c r="D255" s="5">
        <v>1.75</v>
      </c>
      <c r="E255" s="5">
        <v>1.05</v>
      </c>
      <c r="F255" s="5">
        <f t="shared" si="12"/>
        <v>1.8375000000000001</v>
      </c>
      <c r="G255" s="20">
        <v>621500</v>
      </c>
      <c r="H255" s="7">
        <f t="shared" si="13"/>
        <v>1142006.25</v>
      </c>
      <c r="I255" s="233"/>
      <c r="J255" s="244" t="s">
        <v>597</v>
      </c>
    </row>
    <row r="256" spans="1:10" ht="82.5">
      <c r="A256" s="191">
        <v>38</v>
      </c>
      <c r="B256" s="100" t="s">
        <v>465</v>
      </c>
      <c r="C256" s="5" t="s">
        <v>558</v>
      </c>
      <c r="D256" s="5">
        <v>1.5</v>
      </c>
      <c r="E256" s="5">
        <v>1.05</v>
      </c>
      <c r="F256" s="5">
        <f t="shared" si="12"/>
        <v>1.5750000000000002</v>
      </c>
      <c r="G256" s="20">
        <v>621500</v>
      </c>
      <c r="H256" s="7">
        <f t="shared" si="13"/>
        <v>978862.5000000001</v>
      </c>
      <c r="I256" s="233"/>
      <c r="J256" s="244" t="s">
        <v>598</v>
      </c>
    </row>
    <row r="257" spans="1:10" ht="82.5">
      <c r="A257" s="191">
        <v>39</v>
      </c>
      <c r="B257" s="100" t="s">
        <v>466</v>
      </c>
      <c r="C257" s="5" t="s">
        <v>271</v>
      </c>
      <c r="D257" s="5">
        <v>1.25</v>
      </c>
      <c r="E257" s="5">
        <v>1.05</v>
      </c>
      <c r="F257" s="5">
        <f t="shared" si="12"/>
        <v>1.3125</v>
      </c>
      <c r="G257" s="20">
        <v>621500</v>
      </c>
      <c r="H257" s="7">
        <f t="shared" si="13"/>
        <v>815718.75</v>
      </c>
      <c r="I257" s="233"/>
      <c r="J257" s="244" t="s">
        <v>599</v>
      </c>
    </row>
    <row r="258" spans="1:10" ht="82.5">
      <c r="A258" s="191">
        <v>40</v>
      </c>
      <c r="B258" s="100" t="s">
        <v>467</v>
      </c>
      <c r="C258" s="5" t="s">
        <v>271</v>
      </c>
      <c r="D258" s="5">
        <v>1.25</v>
      </c>
      <c r="E258" s="5">
        <v>1.05</v>
      </c>
      <c r="F258" s="5">
        <f t="shared" si="12"/>
        <v>1.3125</v>
      </c>
      <c r="G258" s="20">
        <v>621500</v>
      </c>
      <c r="H258" s="7">
        <f t="shared" si="13"/>
        <v>815718.75</v>
      </c>
      <c r="I258" s="233"/>
      <c r="J258" s="244" t="s">
        <v>600</v>
      </c>
    </row>
    <row r="259" spans="1:10" ht="82.5">
      <c r="A259" s="191">
        <v>41</v>
      </c>
      <c r="B259" s="100" t="s">
        <v>468</v>
      </c>
      <c r="C259" s="5" t="s">
        <v>561</v>
      </c>
      <c r="D259" s="5">
        <v>1.5</v>
      </c>
      <c r="E259" s="5">
        <v>1.05</v>
      </c>
      <c r="F259" s="5">
        <f t="shared" si="12"/>
        <v>1.5750000000000002</v>
      </c>
      <c r="G259" s="20">
        <v>621500</v>
      </c>
      <c r="H259" s="7">
        <f t="shared" si="13"/>
        <v>978862.5000000001</v>
      </c>
      <c r="I259" s="233"/>
      <c r="J259" s="244" t="s">
        <v>601</v>
      </c>
    </row>
    <row r="260" spans="1:10" ht="82.5">
      <c r="A260" s="191">
        <v>42</v>
      </c>
      <c r="B260" s="100" t="s">
        <v>469</v>
      </c>
      <c r="C260" s="5" t="s">
        <v>562</v>
      </c>
      <c r="D260" s="5">
        <v>1.5</v>
      </c>
      <c r="E260" s="5">
        <v>1.05</v>
      </c>
      <c r="F260" s="5">
        <f t="shared" si="12"/>
        <v>1.5750000000000002</v>
      </c>
      <c r="G260" s="20">
        <v>621500</v>
      </c>
      <c r="H260" s="7">
        <f t="shared" si="13"/>
        <v>978862.5000000001</v>
      </c>
      <c r="I260" s="233"/>
      <c r="J260" s="244" t="s">
        <v>602</v>
      </c>
    </row>
    <row r="261" spans="1:10" ht="83.25" thickBot="1">
      <c r="A261" s="199">
        <v>43</v>
      </c>
      <c r="B261" s="200" t="s">
        <v>470</v>
      </c>
      <c r="C261" s="201" t="s">
        <v>271</v>
      </c>
      <c r="D261" s="201">
        <v>1.25</v>
      </c>
      <c r="E261" s="201">
        <v>1.05</v>
      </c>
      <c r="F261" s="201">
        <f>D261*E261</f>
        <v>1.3125</v>
      </c>
      <c r="G261" s="202">
        <v>621500</v>
      </c>
      <c r="H261" s="245">
        <f>F261*G261</f>
        <v>815718.75</v>
      </c>
      <c r="I261" s="246"/>
      <c r="J261" s="247" t="s">
        <v>603</v>
      </c>
    </row>
  </sheetData>
  <sheetProtection/>
  <mergeCells count="14">
    <mergeCell ref="J241:J244"/>
    <mergeCell ref="J245:J250"/>
    <mergeCell ref="J222:J223"/>
    <mergeCell ref="J224:J226"/>
    <mergeCell ref="J227:J228"/>
    <mergeCell ref="J229:J230"/>
    <mergeCell ref="J234:J235"/>
    <mergeCell ref="J237:J239"/>
    <mergeCell ref="B3:H3"/>
    <mergeCell ref="B215:C215"/>
    <mergeCell ref="A2:H2"/>
    <mergeCell ref="B216:F216"/>
    <mergeCell ref="B6:G6"/>
    <mergeCell ref="J218:J220"/>
  </mergeCells>
  <printOptions horizontalCentered="1"/>
  <pageMargins left="0.31496062992125984" right="0.31496062992125984" top="0.35433070866141736" bottom="0.5511811023622047" header="0.31496062992125984" footer="0.31496062992125984"/>
  <pageSetup horizontalDpi="600" verticalDpi="600" orientation="landscape"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N261"/>
  <sheetViews>
    <sheetView zoomScalePageLayoutView="0" workbookViewId="0" topLeftCell="A259">
      <selection activeCell="H62" sqref="H62"/>
    </sheetView>
  </sheetViews>
  <sheetFormatPr defaultColWidth="9.140625" defaultRowHeight="15"/>
  <cols>
    <col min="1" max="1" width="5.140625" style="9" bestFit="1" customWidth="1"/>
    <col min="2" max="2" width="42.7109375" style="15" customWidth="1"/>
    <col min="3" max="3" width="13.421875" style="6" customWidth="1"/>
    <col min="4" max="4" width="10.421875" style="9" customWidth="1"/>
    <col min="5" max="5" width="11.140625" style="9" customWidth="1"/>
    <col min="6" max="6" width="11.8515625" style="9" customWidth="1"/>
    <col min="7" max="7" width="12.7109375" style="26" customWidth="1"/>
    <col min="8" max="8" width="13.7109375" style="9" customWidth="1"/>
    <col min="9" max="9" width="38.421875" style="6" hidden="1" customWidth="1"/>
    <col min="10" max="10" width="18.140625" style="6" customWidth="1"/>
    <col min="11" max="11" width="20.28125" style="6" customWidth="1"/>
    <col min="12" max="12" width="19.28125" style="6" customWidth="1"/>
    <col min="13" max="13" width="11.28125" style="6" bestFit="1" customWidth="1"/>
    <col min="14" max="14" width="13.140625" style="6" bestFit="1" customWidth="1"/>
    <col min="15" max="16384" width="9.140625" style="6" customWidth="1"/>
  </cols>
  <sheetData>
    <row r="1" spans="1:8" s="8" customFormat="1" ht="18.75" customHeight="1">
      <c r="A1" s="177"/>
      <c r="B1" s="176"/>
      <c r="C1" s="176"/>
      <c r="D1" s="176"/>
      <c r="E1" s="176"/>
      <c r="F1" s="176"/>
      <c r="G1" s="176"/>
      <c r="H1" s="176"/>
    </row>
    <row r="2" spans="1:8" ht="59.25" customHeight="1">
      <c r="A2" s="363" t="s">
        <v>545</v>
      </c>
      <c r="B2" s="363"/>
      <c r="C2" s="363"/>
      <c r="D2" s="363"/>
      <c r="E2" s="363"/>
      <c r="F2" s="363"/>
      <c r="G2" s="363"/>
      <c r="H2" s="363"/>
    </row>
    <row r="3" spans="1:8" ht="15.75" customHeight="1" hidden="1">
      <c r="A3" s="24"/>
      <c r="B3" s="361" t="s">
        <v>246</v>
      </c>
      <c r="C3" s="361"/>
      <c r="D3" s="361"/>
      <c r="E3" s="361"/>
      <c r="F3" s="361"/>
      <c r="G3" s="361"/>
      <c r="H3" s="361"/>
    </row>
    <row r="4" spans="1:12" ht="15.75" customHeight="1" thickBot="1">
      <c r="A4" s="24"/>
      <c r="B4" s="248"/>
      <c r="C4" s="248"/>
      <c r="D4" s="248"/>
      <c r="E4" s="248"/>
      <c r="F4" s="248"/>
      <c r="G4" s="248"/>
      <c r="H4" s="204" t="s">
        <v>547</v>
      </c>
      <c r="L4" s="203"/>
    </row>
    <row r="5" spans="1:11" s="152" customFormat="1" ht="111" thickBot="1">
      <c r="A5" s="287" t="s">
        <v>272</v>
      </c>
      <c r="B5" s="288" t="s">
        <v>118</v>
      </c>
      <c r="C5" s="288" t="s">
        <v>119</v>
      </c>
      <c r="D5" s="288" t="s">
        <v>120</v>
      </c>
      <c r="E5" s="289" t="s">
        <v>263</v>
      </c>
      <c r="F5" s="289" t="s">
        <v>264</v>
      </c>
      <c r="G5" s="290" t="s">
        <v>265</v>
      </c>
      <c r="H5" s="291" t="s">
        <v>609</v>
      </c>
      <c r="I5" s="292"/>
      <c r="J5" s="291" t="s">
        <v>606</v>
      </c>
      <c r="K5" s="291" t="s">
        <v>607</v>
      </c>
    </row>
    <row r="6" spans="1:12" s="13" customFormat="1" ht="34.5" customHeight="1">
      <c r="A6" s="285"/>
      <c r="B6" s="372" t="s">
        <v>339</v>
      </c>
      <c r="C6" s="372"/>
      <c r="D6" s="372"/>
      <c r="E6" s="372"/>
      <c r="F6" s="372"/>
      <c r="G6" s="372"/>
      <c r="H6" s="286">
        <f>H61+H216</f>
        <v>54286262.5</v>
      </c>
      <c r="I6" s="302"/>
      <c r="J6" s="303">
        <f>H6*0.1</f>
        <v>5428626.25</v>
      </c>
      <c r="K6" s="304">
        <f>H6+J6</f>
        <v>59714888.75</v>
      </c>
      <c r="L6" s="275"/>
    </row>
    <row r="7" spans="1:11" s="13" customFormat="1" ht="15.75" hidden="1">
      <c r="A7" s="249">
        <v>1</v>
      </c>
      <c r="B7" s="11" t="s">
        <v>240</v>
      </c>
      <c r="C7" s="249"/>
      <c r="D7" s="249"/>
      <c r="E7" s="249"/>
      <c r="F7" s="249"/>
      <c r="G7" s="19"/>
      <c r="H7" s="3"/>
      <c r="I7" s="281"/>
      <c r="J7" s="281"/>
      <c r="K7" s="278">
        <f aca="true" t="shared" si="0" ref="K7:K70">H7+J7</f>
        <v>0</v>
      </c>
    </row>
    <row r="8" spans="1:11" s="13" customFormat="1" ht="31.5" hidden="1">
      <c r="A8" s="250" t="s">
        <v>2</v>
      </c>
      <c r="B8" s="43" t="s">
        <v>258</v>
      </c>
      <c r="C8" s="249"/>
      <c r="D8" s="249"/>
      <c r="E8" s="249"/>
      <c r="F8" s="249"/>
      <c r="G8" s="19"/>
      <c r="H8" s="3"/>
      <c r="I8" s="281"/>
      <c r="J8" s="281"/>
      <c r="K8" s="278">
        <f t="shared" si="0"/>
        <v>0</v>
      </c>
    </row>
    <row r="9" spans="1:11" s="13" customFormat="1" ht="31.5" hidden="1">
      <c r="A9" s="250" t="s">
        <v>7</v>
      </c>
      <c r="B9" s="43" t="s">
        <v>259</v>
      </c>
      <c r="C9" s="249"/>
      <c r="D9" s="249"/>
      <c r="E9" s="249"/>
      <c r="F9" s="249"/>
      <c r="G9" s="19"/>
      <c r="H9" s="3"/>
      <c r="I9" s="281"/>
      <c r="J9" s="281"/>
      <c r="K9" s="278">
        <f t="shared" si="0"/>
        <v>0</v>
      </c>
    </row>
    <row r="10" spans="1:11" s="13" customFormat="1" ht="31.5" hidden="1">
      <c r="A10" s="250" t="s">
        <v>9</v>
      </c>
      <c r="B10" s="43" t="s">
        <v>260</v>
      </c>
      <c r="C10" s="249"/>
      <c r="D10" s="249"/>
      <c r="E10" s="249"/>
      <c r="F10" s="249"/>
      <c r="G10" s="19"/>
      <c r="H10" s="3"/>
      <c r="I10" s="281"/>
      <c r="J10" s="281"/>
      <c r="K10" s="278">
        <f t="shared" si="0"/>
        <v>0</v>
      </c>
    </row>
    <row r="11" spans="1:11" s="13" customFormat="1" ht="31.5" hidden="1">
      <c r="A11" s="250" t="s">
        <v>28</v>
      </c>
      <c r="B11" s="43" t="s">
        <v>261</v>
      </c>
      <c r="C11" s="249"/>
      <c r="D11" s="249"/>
      <c r="E11" s="249"/>
      <c r="F11" s="249"/>
      <c r="G11" s="19"/>
      <c r="H11" s="3"/>
      <c r="I11" s="281"/>
      <c r="J11" s="281"/>
      <c r="K11" s="278">
        <f t="shared" si="0"/>
        <v>0</v>
      </c>
    </row>
    <row r="12" spans="1:11" s="13" customFormat="1" ht="31.5" hidden="1">
      <c r="A12" s="250" t="s">
        <v>34</v>
      </c>
      <c r="B12" s="276" t="s">
        <v>262</v>
      </c>
      <c r="C12" s="249"/>
      <c r="D12" s="249"/>
      <c r="E12" s="249"/>
      <c r="F12" s="249"/>
      <c r="G12" s="19"/>
      <c r="H12" s="3"/>
      <c r="I12" s="281"/>
      <c r="J12" s="281"/>
      <c r="K12" s="278">
        <f t="shared" si="0"/>
        <v>0</v>
      </c>
    </row>
    <row r="13" spans="1:11" s="13" customFormat="1" ht="31.5" hidden="1">
      <c r="A13" s="2">
        <v>2</v>
      </c>
      <c r="B13" s="11" t="s">
        <v>253</v>
      </c>
      <c r="C13" s="2"/>
      <c r="D13" s="2"/>
      <c r="E13" s="2"/>
      <c r="F13" s="249"/>
      <c r="G13" s="19"/>
      <c r="H13" s="3"/>
      <c r="I13" s="281"/>
      <c r="J13" s="281"/>
      <c r="K13" s="278">
        <f t="shared" si="0"/>
        <v>0</v>
      </c>
    </row>
    <row r="14" spans="1:11" s="13" customFormat="1" ht="15.75" hidden="1">
      <c r="A14" s="2" t="s">
        <v>2</v>
      </c>
      <c r="B14" s="14" t="s">
        <v>219</v>
      </c>
      <c r="C14" s="249"/>
      <c r="D14" s="249"/>
      <c r="E14" s="249"/>
      <c r="F14" s="249"/>
      <c r="G14" s="19"/>
      <c r="H14" s="3"/>
      <c r="I14" s="281"/>
      <c r="J14" s="281"/>
      <c r="K14" s="278">
        <f t="shared" si="0"/>
        <v>0</v>
      </c>
    </row>
    <row r="15" spans="1:11" s="13" customFormat="1" ht="15.75" hidden="1">
      <c r="A15" s="2"/>
      <c r="B15" s="14" t="s">
        <v>257</v>
      </c>
      <c r="C15" s="3"/>
      <c r="D15" s="3"/>
      <c r="E15" s="3"/>
      <c r="F15" s="3"/>
      <c r="G15" s="19"/>
      <c r="H15" s="3"/>
      <c r="I15" s="281"/>
      <c r="J15" s="281"/>
      <c r="K15" s="278">
        <f t="shared" si="0"/>
        <v>0</v>
      </c>
    </row>
    <row r="16" spans="1:11" s="13" customFormat="1" ht="15.75" hidden="1">
      <c r="A16" s="2"/>
      <c r="B16" s="14" t="s">
        <v>214</v>
      </c>
      <c r="C16" s="3"/>
      <c r="D16" s="3"/>
      <c r="E16" s="3"/>
      <c r="F16" s="3"/>
      <c r="G16" s="19"/>
      <c r="H16" s="3"/>
      <c r="I16" s="281"/>
      <c r="J16" s="281"/>
      <c r="K16" s="278">
        <f t="shared" si="0"/>
        <v>0</v>
      </c>
    </row>
    <row r="17" spans="1:11" s="13" customFormat="1" ht="15.75" hidden="1">
      <c r="A17" s="2"/>
      <c r="B17" s="14" t="s">
        <v>215</v>
      </c>
      <c r="C17" s="3"/>
      <c r="D17" s="3"/>
      <c r="E17" s="3"/>
      <c r="F17" s="3"/>
      <c r="G17" s="19"/>
      <c r="H17" s="3"/>
      <c r="I17" s="281"/>
      <c r="J17" s="281"/>
      <c r="K17" s="278">
        <f t="shared" si="0"/>
        <v>0</v>
      </c>
    </row>
    <row r="18" spans="1:11" s="13" customFormat="1" ht="15.75" hidden="1">
      <c r="A18" s="2"/>
      <c r="B18" s="14" t="s">
        <v>251</v>
      </c>
      <c r="C18" s="3"/>
      <c r="D18" s="3"/>
      <c r="E18" s="3"/>
      <c r="F18" s="3"/>
      <c r="G18" s="19"/>
      <c r="H18" s="3"/>
      <c r="I18" s="281"/>
      <c r="J18" s="281"/>
      <c r="K18" s="278">
        <f t="shared" si="0"/>
        <v>0</v>
      </c>
    </row>
    <row r="19" spans="1:11" s="13" customFormat="1" ht="31.5" hidden="1">
      <c r="A19" s="2" t="s">
        <v>7</v>
      </c>
      <c r="B19" s="14" t="s">
        <v>220</v>
      </c>
      <c r="C19" s="249"/>
      <c r="D19" s="249"/>
      <c r="E19" s="249"/>
      <c r="F19" s="249"/>
      <c r="G19" s="19"/>
      <c r="H19" s="3"/>
      <c r="I19" s="281"/>
      <c r="J19" s="281"/>
      <c r="K19" s="278">
        <f t="shared" si="0"/>
        <v>0</v>
      </c>
    </row>
    <row r="20" spans="1:11" s="13" customFormat="1" ht="15.75" hidden="1">
      <c r="A20" s="2"/>
      <c r="B20" s="14" t="s">
        <v>257</v>
      </c>
      <c r="C20" s="3"/>
      <c r="D20" s="3"/>
      <c r="E20" s="3"/>
      <c r="F20" s="3"/>
      <c r="G20" s="19"/>
      <c r="H20" s="3"/>
      <c r="I20" s="281"/>
      <c r="J20" s="281"/>
      <c r="K20" s="278">
        <f t="shared" si="0"/>
        <v>0</v>
      </c>
    </row>
    <row r="21" spans="1:11" s="13" customFormat="1" ht="15.75" hidden="1">
      <c r="A21" s="2"/>
      <c r="B21" s="14" t="s">
        <v>214</v>
      </c>
      <c r="C21" s="3"/>
      <c r="D21" s="3"/>
      <c r="E21" s="3"/>
      <c r="F21" s="3"/>
      <c r="G21" s="19"/>
      <c r="H21" s="3"/>
      <c r="I21" s="281"/>
      <c r="J21" s="281"/>
      <c r="K21" s="278">
        <f t="shared" si="0"/>
        <v>0</v>
      </c>
    </row>
    <row r="22" spans="1:11" s="13" customFormat="1" ht="15.75" hidden="1">
      <c r="A22" s="2"/>
      <c r="B22" s="14" t="s">
        <v>215</v>
      </c>
      <c r="C22" s="3"/>
      <c r="D22" s="3"/>
      <c r="E22" s="3"/>
      <c r="F22" s="3"/>
      <c r="G22" s="19"/>
      <c r="H22" s="3"/>
      <c r="I22" s="281"/>
      <c r="J22" s="281"/>
      <c r="K22" s="278">
        <f t="shared" si="0"/>
        <v>0</v>
      </c>
    </row>
    <row r="23" spans="1:11" s="13" customFormat="1" ht="15.75" hidden="1">
      <c r="A23" s="2"/>
      <c r="B23" s="14" t="s">
        <v>251</v>
      </c>
      <c r="C23" s="3"/>
      <c r="D23" s="3"/>
      <c r="E23" s="3"/>
      <c r="F23" s="3"/>
      <c r="G23" s="19"/>
      <c r="H23" s="3"/>
      <c r="I23" s="281"/>
      <c r="J23" s="281"/>
      <c r="K23" s="278">
        <f t="shared" si="0"/>
        <v>0</v>
      </c>
    </row>
    <row r="24" spans="1:11" s="13" customFormat="1" ht="47.25" hidden="1">
      <c r="A24" s="2" t="s">
        <v>9</v>
      </c>
      <c r="B24" s="14" t="s">
        <v>222</v>
      </c>
      <c r="C24" s="249"/>
      <c r="D24" s="249"/>
      <c r="E24" s="249"/>
      <c r="F24" s="249"/>
      <c r="G24" s="19"/>
      <c r="H24" s="3"/>
      <c r="I24" s="281"/>
      <c r="J24" s="281"/>
      <c r="K24" s="278">
        <f t="shared" si="0"/>
        <v>0</v>
      </c>
    </row>
    <row r="25" spans="1:11" s="13" customFormat="1" ht="15.75" hidden="1">
      <c r="A25" s="2"/>
      <c r="B25" s="14" t="s">
        <v>257</v>
      </c>
      <c r="C25" s="3"/>
      <c r="D25" s="3"/>
      <c r="E25" s="3"/>
      <c r="F25" s="3"/>
      <c r="G25" s="19"/>
      <c r="H25" s="3"/>
      <c r="I25" s="281"/>
      <c r="J25" s="281"/>
      <c r="K25" s="278">
        <f t="shared" si="0"/>
        <v>0</v>
      </c>
    </row>
    <row r="26" spans="1:11" s="13" customFormat="1" ht="15.75" hidden="1">
      <c r="A26" s="2"/>
      <c r="B26" s="14" t="s">
        <v>214</v>
      </c>
      <c r="C26" s="3"/>
      <c r="D26" s="3"/>
      <c r="E26" s="3"/>
      <c r="F26" s="3"/>
      <c r="G26" s="19"/>
      <c r="H26" s="3"/>
      <c r="I26" s="281"/>
      <c r="J26" s="281"/>
      <c r="K26" s="278">
        <f t="shared" si="0"/>
        <v>0</v>
      </c>
    </row>
    <row r="27" spans="1:11" s="13" customFormat="1" ht="15.75" hidden="1">
      <c r="A27" s="2"/>
      <c r="B27" s="14" t="s">
        <v>215</v>
      </c>
      <c r="C27" s="3"/>
      <c r="D27" s="3"/>
      <c r="E27" s="3"/>
      <c r="F27" s="3"/>
      <c r="G27" s="19"/>
      <c r="H27" s="3"/>
      <c r="I27" s="281"/>
      <c r="J27" s="281"/>
      <c r="K27" s="278">
        <f t="shared" si="0"/>
        <v>0</v>
      </c>
    </row>
    <row r="28" spans="1:11" s="13" customFormat="1" ht="15.75" hidden="1">
      <c r="A28" s="2"/>
      <c r="B28" s="14" t="s">
        <v>251</v>
      </c>
      <c r="C28" s="3"/>
      <c r="D28" s="3"/>
      <c r="E28" s="3"/>
      <c r="F28" s="3"/>
      <c r="G28" s="19"/>
      <c r="H28" s="3"/>
      <c r="I28" s="281"/>
      <c r="J28" s="281"/>
      <c r="K28" s="278">
        <f t="shared" si="0"/>
        <v>0</v>
      </c>
    </row>
    <row r="29" spans="1:11" s="13" customFormat="1" ht="31.5" hidden="1">
      <c r="A29" s="2" t="s">
        <v>28</v>
      </c>
      <c r="B29" s="14" t="s">
        <v>221</v>
      </c>
      <c r="C29" s="249"/>
      <c r="D29" s="249"/>
      <c r="E29" s="249"/>
      <c r="F29" s="249"/>
      <c r="G29" s="19"/>
      <c r="H29" s="3"/>
      <c r="I29" s="281"/>
      <c r="J29" s="281"/>
      <c r="K29" s="278">
        <f t="shared" si="0"/>
        <v>0</v>
      </c>
    </row>
    <row r="30" spans="1:11" s="13" customFormat="1" ht="15.75" hidden="1">
      <c r="A30" s="2"/>
      <c r="B30" s="14" t="s">
        <v>257</v>
      </c>
      <c r="C30" s="3"/>
      <c r="D30" s="3"/>
      <c r="E30" s="3"/>
      <c r="F30" s="3"/>
      <c r="G30" s="19"/>
      <c r="H30" s="3"/>
      <c r="I30" s="281"/>
      <c r="J30" s="281"/>
      <c r="K30" s="278">
        <f t="shared" si="0"/>
        <v>0</v>
      </c>
    </row>
    <row r="31" spans="1:11" s="13" customFormat="1" ht="15.75" hidden="1">
      <c r="A31" s="2"/>
      <c r="B31" s="14" t="s">
        <v>214</v>
      </c>
      <c r="C31" s="3"/>
      <c r="D31" s="3"/>
      <c r="E31" s="3"/>
      <c r="F31" s="3"/>
      <c r="G31" s="19"/>
      <c r="H31" s="3"/>
      <c r="I31" s="281"/>
      <c r="J31" s="281"/>
      <c r="K31" s="278">
        <f t="shared" si="0"/>
        <v>0</v>
      </c>
    </row>
    <row r="32" spans="1:11" s="13" customFormat="1" ht="15.75" hidden="1">
      <c r="A32" s="2"/>
      <c r="B32" s="14" t="s">
        <v>215</v>
      </c>
      <c r="C32" s="3"/>
      <c r="D32" s="3"/>
      <c r="E32" s="3"/>
      <c r="F32" s="3"/>
      <c r="G32" s="19"/>
      <c r="H32" s="3"/>
      <c r="I32" s="281"/>
      <c r="J32" s="281"/>
      <c r="K32" s="278">
        <f t="shared" si="0"/>
        <v>0</v>
      </c>
    </row>
    <row r="33" spans="1:11" s="13" customFormat="1" ht="15.75" hidden="1">
      <c r="A33" s="2"/>
      <c r="B33" s="14" t="s">
        <v>251</v>
      </c>
      <c r="C33" s="3"/>
      <c r="D33" s="3"/>
      <c r="E33" s="3"/>
      <c r="F33" s="3"/>
      <c r="G33" s="19"/>
      <c r="H33" s="3"/>
      <c r="I33" s="281"/>
      <c r="J33" s="281"/>
      <c r="K33" s="278">
        <f t="shared" si="0"/>
        <v>0</v>
      </c>
    </row>
    <row r="34" spans="1:11" s="13" customFormat="1" ht="15.75" hidden="1">
      <c r="A34" s="2" t="s">
        <v>34</v>
      </c>
      <c r="B34" s="14" t="s">
        <v>131</v>
      </c>
      <c r="C34" s="249"/>
      <c r="D34" s="249"/>
      <c r="E34" s="249"/>
      <c r="F34" s="249"/>
      <c r="G34" s="19"/>
      <c r="H34" s="3"/>
      <c r="I34" s="281"/>
      <c r="J34" s="281"/>
      <c r="K34" s="278">
        <f t="shared" si="0"/>
        <v>0</v>
      </c>
    </row>
    <row r="35" spans="1:11" s="13" customFormat="1" ht="31.5" hidden="1">
      <c r="A35" s="2" t="s">
        <v>73</v>
      </c>
      <c r="B35" s="14" t="s">
        <v>223</v>
      </c>
      <c r="C35" s="249"/>
      <c r="D35" s="249"/>
      <c r="E35" s="249"/>
      <c r="F35" s="249"/>
      <c r="G35" s="19"/>
      <c r="H35" s="3"/>
      <c r="I35" s="281"/>
      <c r="J35" s="281"/>
      <c r="K35" s="278">
        <f t="shared" si="0"/>
        <v>0</v>
      </c>
    </row>
    <row r="36" spans="1:11" s="13" customFormat="1" ht="15.75" hidden="1">
      <c r="A36" s="2" t="s">
        <v>74</v>
      </c>
      <c r="B36" s="14" t="s">
        <v>256</v>
      </c>
      <c r="C36" s="249"/>
      <c r="D36" s="249"/>
      <c r="E36" s="249"/>
      <c r="F36" s="249"/>
      <c r="G36" s="19"/>
      <c r="H36" s="3"/>
      <c r="I36" s="281"/>
      <c r="J36" s="281"/>
      <c r="K36" s="278">
        <f t="shared" si="0"/>
        <v>0</v>
      </c>
    </row>
    <row r="37" spans="1:11" s="13" customFormat="1" ht="15.75" hidden="1">
      <c r="A37" s="249">
        <v>3</v>
      </c>
      <c r="B37" s="11" t="s">
        <v>224</v>
      </c>
      <c r="C37" s="249"/>
      <c r="D37" s="249"/>
      <c r="E37" s="249"/>
      <c r="F37" s="249"/>
      <c r="G37" s="19"/>
      <c r="H37" s="3"/>
      <c r="I37" s="281"/>
      <c r="J37" s="281"/>
      <c r="K37" s="278">
        <f t="shared" si="0"/>
        <v>0</v>
      </c>
    </row>
    <row r="38" spans="1:11" s="13" customFormat="1" ht="31.5" hidden="1">
      <c r="A38" s="249" t="s">
        <v>2</v>
      </c>
      <c r="B38" s="11" t="s">
        <v>122</v>
      </c>
      <c r="C38" s="277" t="s">
        <v>1</v>
      </c>
      <c r="D38" s="249">
        <v>8</v>
      </c>
      <c r="E38" s="19">
        <v>2000</v>
      </c>
      <c r="F38" s="249">
        <v>0.99</v>
      </c>
      <c r="G38" s="19"/>
      <c r="H38" s="249"/>
      <c r="I38" s="281"/>
      <c r="J38" s="281"/>
      <c r="K38" s="278">
        <f t="shared" si="0"/>
        <v>0</v>
      </c>
    </row>
    <row r="39" spans="1:11" s="13" customFormat="1" ht="47.25" hidden="1">
      <c r="A39" s="249" t="s">
        <v>7</v>
      </c>
      <c r="B39" s="11" t="s">
        <v>123</v>
      </c>
      <c r="C39" s="277" t="s">
        <v>1</v>
      </c>
      <c r="D39" s="249">
        <v>8</v>
      </c>
      <c r="E39" s="19">
        <v>2000</v>
      </c>
      <c r="F39" s="249">
        <v>0.99</v>
      </c>
      <c r="G39" s="19"/>
      <c r="H39" s="249"/>
      <c r="I39" s="281"/>
      <c r="J39" s="281"/>
      <c r="K39" s="278">
        <f t="shared" si="0"/>
        <v>0</v>
      </c>
    </row>
    <row r="40" spans="1:11" s="13" customFormat="1" ht="63" hidden="1">
      <c r="A40" s="249" t="s">
        <v>9</v>
      </c>
      <c r="B40" s="11" t="s">
        <v>124</v>
      </c>
      <c r="C40" s="277" t="s">
        <v>1</v>
      </c>
      <c r="D40" s="249">
        <v>13</v>
      </c>
      <c r="E40" s="19">
        <v>2000</v>
      </c>
      <c r="F40" s="249">
        <v>0.99</v>
      </c>
      <c r="G40" s="19"/>
      <c r="H40" s="249"/>
      <c r="I40" s="281"/>
      <c r="J40" s="281"/>
      <c r="K40" s="278">
        <f t="shared" si="0"/>
        <v>0</v>
      </c>
    </row>
    <row r="41" spans="1:11" s="13" customFormat="1" ht="47.25" hidden="1">
      <c r="A41" s="249" t="s">
        <v>28</v>
      </c>
      <c r="B41" s="11" t="s">
        <v>208</v>
      </c>
      <c r="C41" s="277"/>
      <c r="D41" s="277"/>
      <c r="E41" s="277"/>
      <c r="F41" s="249"/>
      <c r="G41" s="19"/>
      <c r="H41" s="249"/>
      <c r="I41" s="281"/>
      <c r="J41" s="281"/>
      <c r="K41" s="278">
        <f t="shared" si="0"/>
        <v>0</v>
      </c>
    </row>
    <row r="42" spans="1:11" s="13" customFormat="1" ht="31.5" hidden="1">
      <c r="A42" s="249" t="s">
        <v>30</v>
      </c>
      <c r="B42" s="11" t="s">
        <v>209</v>
      </c>
      <c r="C42" s="277" t="s">
        <v>1</v>
      </c>
      <c r="D42" s="249">
        <v>20</v>
      </c>
      <c r="E42" s="19">
        <v>2000</v>
      </c>
      <c r="F42" s="249">
        <v>0.99</v>
      </c>
      <c r="G42" s="19"/>
      <c r="H42" s="249"/>
      <c r="I42" s="281"/>
      <c r="J42" s="281"/>
      <c r="K42" s="278">
        <f t="shared" si="0"/>
        <v>0</v>
      </c>
    </row>
    <row r="43" spans="1:11" s="13" customFormat="1" ht="47.25" hidden="1">
      <c r="A43" s="249" t="s">
        <v>32</v>
      </c>
      <c r="B43" s="11" t="s">
        <v>210</v>
      </c>
      <c r="C43" s="277" t="s">
        <v>1</v>
      </c>
      <c r="D43" s="249">
        <v>30</v>
      </c>
      <c r="E43" s="19">
        <v>2000</v>
      </c>
      <c r="F43" s="249">
        <v>0.99</v>
      </c>
      <c r="G43" s="19"/>
      <c r="H43" s="249"/>
      <c r="I43" s="281"/>
      <c r="J43" s="281"/>
      <c r="K43" s="278">
        <f t="shared" si="0"/>
        <v>0</v>
      </c>
    </row>
    <row r="44" spans="1:11" s="13" customFormat="1" ht="47.25" hidden="1">
      <c r="A44" s="249" t="s">
        <v>149</v>
      </c>
      <c r="B44" s="11" t="s">
        <v>125</v>
      </c>
      <c r="C44" s="277" t="s">
        <v>1</v>
      </c>
      <c r="D44" s="249">
        <v>15</v>
      </c>
      <c r="E44" s="19">
        <v>2000</v>
      </c>
      <c r="F44" s="249">
        <v>0.99</v>
      </c>
      <c r="G44" s="19"/>
      <c r="H44" s="249"/>
      <c r="I44" s="281"/>
      <c r="J44" s="281"/>
      <c r="K44" s="278">
        <f t="shared" si="0"/>
        <v>0</v>
      </c>
    </row>
    <row r="45" spans="1:11" s="13" customFormat="1" ht="47.25" hidden="1">
      <c r="A45" s="249" t="s">
        <v>150</v>
      </c>
      <c r="B45" s="11" t="s">
        <v>126</v>
      </c>
      <c r="C45" s="277" t="s">
        <v>1</v>
      </c>
      <c r="D45" s="249">
        <v>13</v>
      </c>
      <c r="E45" s="19">
        <v>2000</v>
      </c>
      <c r="F45" s="249">
        <v>0.99</v>
      </c>
      <c r="G45" s="19"/>
      <c r="H45" s="249"/>
      <c r="I45" s="281"/>
      <c r="J45" s="281"/>
      <c r="K45" s="278">
        <f t="shared" si="0"/>
        <v>0</v>
      </c>
    </row>
    <row r="46" spans="1:11" s="13" customFormat="1" ht="78.75" hidden="1">
      <c r="A46" s="249" t="s">
        <v>161</v>
      </c>
      <c r="B46" s="11" t="s">
        <v>127</v>
      </c>
      <c r="C46" s="277" t="s">
        <v>1</v>
      </c>
      <c r="D46" s="249">
        <v>18</v>
      </c>
      <c r="E46" s="19">
        <v>2000</v>
      </c>
      <c r="F46" s="249">
        <v>0.99</v>
      </c>
      <c r="G46" s="19"/>
      <c r="H46" s="249"/>
      <c r="I46" s="281"/>
      <c r="J46" s="281"/>
      <c r="K46" s="278">
        <f t="shared" si="0"/>
        <v>0</v>
      </c>
    </row>
    <row r="47" spans="1:11" s="13" customFormat="1" ht="78.75" hidden="1">
      <c r="A47" s="249" t="s">
        <v>162</v>
      </c>
      <c r="B47" s="11" t="s">
        <v>128</v>
      </c>
      <c r="C47" s="277" t="s">
        <v>1</v>
      </c>
      <c r="D47" s="249">
        <v>25</v>
      </c>
      <c r="E47" s="19">
        <v>2000</v>
      </c>
      <c r="F47" s="249">
        <v>0.99</v>
      </c>
      <c r="G47" s="19"/>
      <c r="H47" s="249"/>
      <c r="I47" s="281"/>
      <c r="J47" s="281"/>
      <c r="K47" s="278">
        <f t="shared" si="0"/>
        <v>0</v>
      </c>
    </row>
    <row r="48" spans="1:11" s="13" customFormat="1" ht="63" hidden="1">
      <c r="A48" s="249" t="s">
        <v>211</v>
      </c>
      <c r="B48" s="11" t="s">
        <v>129</v>
      </c>
      <c r="C48" s="277" t="s">
        <v>1</v>
      </c>
      <c r="D48" s="249">
        <v>30</v>
      </c>
      <c r="E48" s="19">
        <v>2000</v>
      </c>
      <c r="F48" s="249">
        <v>0.99</v>
      </c>
      <c r="G48" s="19"/>
      <c r="H48" s="249"/>
      <c r="I48" s="281"/>
      <c r="J48" s="281"/>
      <c r="K48" s="278">
        <f t="shared" si="0"/>
        <v>0</v>
      </c>
    </row>
    <row r="49" spans="1:11" s="13" customFormat="1" ht="31.5" hidden="1">
      <c r="A49" s="249" t="s">
        <v>212</v>
      </c>
      <c r="B49" s="11" t="s">
        <v>130</v>
      </c>
      <c r="C49" s="277" t="s">
        <v>1</v>
      </c>
      <c r="D49" s="249">
        <v>5</v>
      </c>
      <c r="E49" s="19">
        <v>2000</v>
      </c>
      <c r="F49" s="249">
        <v>0.99</v>
      </c>
      <c r="G49" s="19"/>
      <c r="H49" s="249"/>
      <c r="I49" s="281"/>
      <c r="J49" s="281"/>
      <c r="K49" s="278">
        <f t="shared" si="0"/>
        <v>0</v>
      </c>
    </row>
    <row r="50" spans="1:11" s="13" customFormat="1" ht="31.5" hidden="1">
      <c r="A50" s="249" t="s">
        <v>213</v>
      </c>
      <c r="B50" s="11" t="s">
        <v>105</v>
      </c>
      <c r="C50" s="277" t="s">
        <v>1</v>
      </c>
      <c r="D50" s="249">
        <v>10</v>
      </c>
      <c r="E50" s="19">
        <v>2000</v>
      </c>
      <c r="F50" s="249">
        <v>0.99</v>
      </c>
      <c r="G50" s="19"/>
      <c r="H50" s="249"/>
      <c r="I50" s="281"/>
      <c r="J50" s="281"/>
      <c r="K50" s="278">
        <f t="shared" si="0"/>
        <v>0</v>
      </c>
    </row>
    <row r="51" spans="1:11" s="13" customFormat="1" ht="15.75" hidden="1">
      <c r="A51" s="249">
        <v>4</v>
      </c>
      <c r="B51" s="11" t="s">
        <v>252</v>
      </c>
      <c r="C51" s="249"/>
      <c r="D51" s="249"/>
      <c r="E51" s="249"/>
      <c r="F51" s="249"/>
      <c r="G51" s="19"/>
      <c r="H51" s="3"/>
      <c r="I51" s="281"/>
      <c r="J51" s="281"/>
      <c r="K51" s="278">
        <f t="shared" si="0"/>
        <v>0</v>
      </c>
    </row>
    <row r="52" spans="1:11" s="13" customFormat="1" ht="15.75" hidden="1">
      <c r="A52" s="249">
        <v>5</v>
      </c>
      <c r="B52" s="11" t="s">
        <v>225</v>
      </c>
      <c r="C52" s="249"/>
      <c r="D52" s="249"/>
      <c r="E52" s="249"/>
      <c r="F52" s="249"/>
      <c r="G52" s="19"/>
      <c r="H52" s="3"/>
      <c r="I52" s="281"/>
      <c r="J52" s="281"/>
      <c r="K52" s="278">
        <f t="shared" si="0"/>
        <v>0</v>
      </c>
    </row>
    <row r="53" spans="1:11" s="13" customFormat="1" ht="15.75" hidden="1">
      <c r="A53" s="249"/>
      <c r="B53" s="14" t="s">
        <v>226</v>
      </c>
      <c r="C53" s="249"/>
      <c r="D53" s="249"/>
      <c r="E53" s="249"/>
      <c r="F53" s="249"/>
      <c r="G53" s="19"/>
      <c r="H53" s="3"/>
      <c r="I53" s="281"/>
      <c r="J53" s="281"/>
      <c r="K53" s="278">
        <f t="shared" si="0"/>
        <v>0</v>
      </c>
    </row>
    <row r="54" spans="1:11" s="13" customFormat="1" ht="15.75" hidden="1">
      <c r="A54" s="249"/>
      <c r="B54" s="14" t="s">
        <v>227</v>
      </c>
      <c r="C54" s="249"/>
      <c r="D54" s="249"/>
      <c r="E54" s="249"/>
      <c r="F54" s="249"/>
      <c r="G54" s="19"/>
      <c r="H54" s="3"/>
      <c r="I54" s="281"/>
      <c r="J54" s="281"/>
      <c r="K54" s="278">
        <f t="shared" si="0"/>
        <v>0</v>
      </c>
    </row>
    <row r="55" spans="1:11" s="13" customFormat="1" ht="15.75" hidden="1">
      <c r="A55" s="249">
        <v>6</v>
      </c>
      <c r="B55" s="11" t="s">
        <v>241</v>
      </c>
      <c r="C55" s="2"/>
      <c r="D55" s="2"/>
      <c r="E55" s="2"/>
      <c r="F55" s="249"/>
      <c r="G55" s="19"/>
      <c r="H55" s="3"/>
      <c r="I55" s="281"/>
      <c r="J55" s="281"/>
      <c r="K55" s="278">
        <f t="shared" si="0"/>
        <v>0</v>
      </c>
    </row>
    <row r="56" spans="1:11" s="13" customFormat="1" ht="15.75" hidden="1">
      <c r="A56" s="249"/>
      <c r="B56" s="14" t="s">
        <v>216</v>
      </c>
      <c r="C56" s="249"/>
      <c r="D56" s="249"/>
      <c r="E56" s="249"/>
      <c r="F56" s="249"/>
      <c r="G56" s="19"/>
      <c r="H56" s="3"/>
      <c r="I56" s="281"/>
      <c r="J56" s="281"/>
      <c r="K56" s="278">
        <f t="shared" si="0"/>
        <v>0</v>
      </c>
    </row>
    <row r="57" spans="1:11" s="13" customFormat="1" ht="47.25" hidden="1">
      <c r="A57" s="249"/>
      <c r="B57" s="14" t="s">
        <v>255</v>
      </c>
      <c r="C57" s="249"/>
      <c r="D57" s="249"/>
      <c r="E57" s="249"/>
      <c r="F57" s="249"/>
      <c r="G57" s="19"/>
      <c r="H57" s="3"/>
      <c r="I57" s="281"/>
      <c r="J57" s="281"/>
      <c r="K57" s="278">
        <f t="shared" si="0"/>
        <v>0</v>
      </c>
    </row>
    <row r="58" spans="1:11" s="13" customFormat="1" ht="31.5" hidden="1">
      <c r="A58" s="249"/>
      <c r="B58" s="14" t="s">
        <v>218</v>
      </c>
      <c r="C58" s="249"/>
      <c r="D58" s="249"/>
      <c r="E58" s="249"/>
      <c r="F58" s="249"/>
      <c r="G58" s="19"/>
      <c r="H58" s="3"/>
      <c r="I58" s="281"/>
      <c r="J58" s="281"/>
      <c r="K58" s="278">
        <f t="shared" si="0"/>
        <v>0</v>
      </c>
    </row>
    <row r="59" spans="1:11" s="13" customFormat="1" ht="15.75" hidden="1">
      <c r="A59" s="249"/>
      <c r="B59" s="14" t="s">
        <v>217</v>
      </c>
      <c r="C59" s="249"/>
      <c r="D59" s="249"/>
      <c r="E59" s="249"/>
      <c r="F59" s="249"/>
      <c r="G59" s="19"/>
      <c r="H59" s="3"/>
      <c r="I59" s="281"/>
      <c r="J59" s="281"/>
      <c r="K59" s="278">
        <f t="shared" si="0"/>
        <v>0</v>
      </c>
    </row>
    <row r="60" spans="1:11" s="13" customFormat="1" ht="47.25" hidden="1">
      <c r="A60" s="249">
        <v>7</v>
      </c>
      <c r="B60" s="11" t="s">
        <v>254</v>
      </c>
      <c r="C60" s="249"/>
      <c r="D60" s="249"/>
      <c r="E60" s="249"/>
      <c r="F60" s="249"/>
      <c r="G60" s="19"/>
      <c r="H60" s="3"/>
      <c r="I60" s="281"/>
      <c r="J60" s="281"/>
      <c r="K60" s="278">
        <f t="shared" si="0"/>
        <v>0</v>
      </c>
    </row>
    <row r="61" spans="1:12" s="13" customFormat="1" ht="45" customHeight="1">
      <c r="A61" s="293" t="s">
        <v>0</v>
      </c>
      <c r="B61" s="294" t="s">
        <v>239</v>
      </c>
      <c r="C61" s="294"/>
      <c r="D61" s="294"/>
      <c r="E61" s="294"/>
      <c r="F61" s="294"/>
      <c r="G61" s="295">
        <f>G62+G87+G97+G109+G125+G129+G135+G143+G152+G156+G164+G167+G171+G181+G176+G188+G205+G208+G212</f>
        <v>18815000</v>
      </c>
      <c r="H61" s="296">
        <f>H62+H87+H97+H109+H125+H129+H135+H143+H152+H156+H164+H167+H171+H176+H181+H188+H205+H208+H212</f>
        <v>18720925</v>
      </c>
      <c r="I61" s="297"/>
      <c r="J61" s="298">
        <f>H61*0.1</f>
        <v>1872092.5</v>
      </c>
      <c r="K61" s="299">
        <f t="shared" si="0"/>
        <v>20593017.5</v>
      </c>
      <c r="L61" s="21"/>
    </row>
    <row r="62" spans="1:11" s="13" customFormat="1" ht="33.75" customHeight="1">
      <c r="A62" s="249">
        <v>1</v>
      </c>
      <c r="B62" s="11" t="s">
        <v>11</v>
      </c>
      <c r="C62" s="14"/>
      <c r="D62" s="249"/>
      <c r="E62" s="249"/>
      <c r="F62" s="249"/>
      <c r="G62" s="19">
        <f>G63+G64+G68+G73+G76</f>
        <v>1526500</v>
      </c>
      <c r="H62" s="3">
        <f>H63+H64+H68+H73+H76</f>
        <v>1518867.5</v>
      </c>
      <c r="I62" s="281"/>
      <c r="J62" s="3">
        <f aca="true" t="shared" si="1" ref="J62:J125">H62*0.1</f>
        <v>151886.75</v>
      </c>
      <c r="K62" s="278">
        <f t="shared" si="0"/>
        <v>1670754.25</v>
      </c>
    </row>
    <row r="63" spans="1:11" ht="29.25" customHeight="1">
      <c r="A63" s="5" t="s">
        <v>2</v>
      </c>
      <c r="B63" s="12" t="s">
        <v>12</v>
      </c>
      <c r="C63" s="5" t="s">
        <v>8</v>
      </c>
      <c r="D63" s="5">
        <v>63</v>
      </c>
      <c r="E63" s="7">
        <v>1500</v>
      </c>
      <c r="F63" s="5">
        <v>0.995</v>
      </c>
      <c r="G63" s="20">
        <f>D63*E63</f>
        <v>94500</v>
      </c>
      <c r="H63" s="7">
        <f>G63*F63</f>
        <v>94027.5</v>
      </c>
      <c r="I63" s="233"/>
      <c r="J63" s="7">
        <f t="shared" si="1"/>
        <v>9402.75</v>
      </c>
      <c r="K63" s="279">
        <f t="shared" si="0"/>
        <v>103430.25</v>
      </c>
    </row>
    <row r="64" spans="1:11" ht="31.5">
      <c r="A64" s="5" t="s">
        <v>7</v>
      </c>
      <c r="B64" s="12" t="s">
        <v>477</v>
      </c>
      <c r="C64" s="4"/>
      <c r="D64" s="5"/>
      <c r="E64" s="7"/>
      <c r="F64" s="5"/>
      <c r="G64" s="20">
        <f>SUM(G65:G67)</f>
        <v>227000</v>
      </c>
      <c r="H64" s="7">
        <f>SUM(H65:H67)</f>
        <v>225865</v>
      </c>
      <c r="I64" s="233"/>
      <c r="J64" s="7">
        <f t="shared" si="1"/>
        <v>22586.5</v>
      </c>
      <c r="K64" s="279">
        <f t="shared" si="0"/>
        <v>248451.5</v>
      </c>
    </row>
    <row r="65" spans="1:11" ht="31.5">
      <c r="A65" s="5" t="s">
        <v>13</v>
      </c>
      <c r="B65" s="12" t="s">
        <v>14</v>
      </c>
      <c r="C65" s="5" t="s">
        <v>8</v>
      </c>
      <c r="D65" s="5">
        <v>57</v>
      </c>
      <c r="E65" s="7">
        <v>1500</v>
      </c>
      <c r="F65" s="5">
        <v>0.995</v>
      </c>
      <c r="G65" s="20">
        <f>D65*E65</f>
        <v>85500</v>
      </c>
      <c r="H65" s="7">
        <f aca="true" t="shared" si="2" ref="H65:H128">G65*F65</f>
        <v>85072.5</v>
      </c>
      <c r="I65" s="233"/>
      <c r="J65" s="7">
        <f t="shared" si="1"/>
        <v>8507.25</v>
      </c>
      <c r="K65" s="279">
        <f t="shared" si="0"/>
        <v>93579.75</v>
      </c>
    </row>
    <row r="66" spans="1:11" ht="31.5">
      <c r="A66" s="5" t="s">
        <v>15</v>
      </c>
      <c r="B66" s="12" t="s">
        <v>16</v>
      </c>
      <c r="C66" s="5" t="s">
        <v>8</v>
      </c>
      <c r="D66" s="5">
        <v>57</v>
      </c>
      <c r="E66" s="7">
        <v>1500</v>
      </c>
      <c r="F66" s="5">
        <v>0.995</v>
      </c>
      <c r="G66" s="20">
        <f>D66*E66</f>
        <v>85500</v>
      </c>
      <c r="H66" s="7">
        <f t="shared" si="2"/>
        <v>85072.5</v>
      </c>
      <c r="I66" s="233"/>
      <c r="J66" s="7">
        <f t="shared" si="1"/>
        <v>8507.25</v>
      </c>
      <c r="K66" s="279">
        <f t="shared" si="0"/>
        <v>93579.75</v>
      </c>
    </row>
    <row r="67" spans="1:11" ht="31.5">
      <c r="A67" s="5" t="s">
        <v>17</v>
      </c>
      <c r="B67" s="12" t="s">
        <v>18</v>
      </c>
      <c r="C67" s="5" t="s">
        <v>1</v>
      </c>
      <c r="D67" s="5">
        <v>28</v>
      </c>
      <c r="E67" s="7">
        <v>2000</v>
      </c>
      <c r="F67" s="5">
        <v>0.995</v>
      </c>
      <c r="G67" s="20">
        <f>D67*E67</f>
        <v>56000</v>
      </c>
      <c r="H67" s="7">
        <f t="shared" si="2"/>
        <v>55720</v>
      </c>
      <c r="I67" s="233"/>
      <c r="J67" s="7">
        <f t="shared" si="1"/>
        <v>5572</v>
      </c>
      <c r="K67" s="279">
        <f t="shared" si="0"/>
        <v>61292</v>
      </c>
    </row>
    <row r="68" spans="1:11" ht="31.5">
      <c r="A68" s="5" t="s">
        <v>9</v>
      </c>
      <c r="B68" s="12" t="s">
        <v>19</v>
      </c>
      <c r="C68" s="4"/>
      <c r="D68" s="5"/>
      <c r="E68" s="7"/>
      <c r="F68" s="5"/>
      <c r="G68" s="20">
        <f>SUM(G69:G72)</f>
        <v>282500</v>
      </c>
      <c r="H68" s="7">
        <f>SUM(H69:H72)</f>
        <v>281087.5</v>
      </c>
      <c r="I68" s="233"/>
      <c r="J68" s="7">
        <f t="shared" si="1"/>
        <v>28108.75</v>
      </c>
      <c r="K68" s="279">
        <f t="shared" si="0"/>
        <v>309196.25</v>
      </c>
    </row>
    <row r="69" spans="1:11" ht="63">
      <c r="A69" s="5" t="s">
        <v>20</v>
      </c>
      <c r="B69" s="12" t="s">
        <v>21</v>
      </c>
      <c r="C69" s="5" t="s">
        <v>8</v>
      </c>
      <c r="D69" s="5">
        <v>53</v>
      </c>
      <c r="E69" s="7">
        <v>1500</v>
      </c>
      <c r="F69" s="5">
        <v>0.995</v>
      </c>
      <c r="G69" s="20">
        <f>D69*E69</f>
        <v>79500</v>
      </c>
      <c r="H69" s="7">
        <f t="shared" si="2"/>
        <v>79102.5</v>
      </c>
      <c r="I69" s="233"/>
      <c r="J69" s="7">
        <f t="shared" si="1"/>
        <v>7910.25</v>
      </c>
      <c r="K69" s="279">
        <f t="shared" si="0"/>
        <v>87012.75</v>
      </c>
    </row>
    <row r="70" spans="1:11" ht="47.25">
      <c r="A70" s="5" t="s">
        <v>22</v>
      </c>
      <c r="B70" s="12" t="s">
        <v>23</v>
      </c>
      <c r="C70" s="5" t="s">
        <v>8</v>
      </c>
      <c r="D70" s="5">
        <v>53</v>
      </c>
      <c r="E70" s="7">
        <v>1500</v>
      </c>
      <c r="F70" s="5">
        <v>0.995</v>
      </c>
      <c r="G70" s="20">
        <f>D70*E70</f>
        <v>79500</v>
      </c>
      <c r="H70" s="7">
        <f t="shared" si="2"/>
        <v>79102.5</v>
      </c>
      <c r="I70" s="233"/>
      <c r="J70" s="7">
        <f t="shared" si="1"/>
        <v>7910.25</v>
      </c>
      <c r="K70" s="279">
        <f t="shared" si="0"/>
        <v>87012.75</v>
      </c>
    </row>
    <row r="71" spans="1:11" ht="31.5">
      <c r="A71" s="5" t="s">
        <v>24</v>
      </c>
      <c r="B71" s="12" t="s">
        <v>25</v>
      </c>
      <c r="C71" s="5" t="s">
        <v>8</v>
      </c>
      <c r="D71" s="5">
        <v>53</v>
      </c>
      <c r="E71" s="7">
        <v>1500</v>
      </c>
      <c r="F71" s="5">
        <v>0.995</v>
      </c>
      <c r="G71" s="20">
        <f>D71*E71</f>
        <v>79500</v>
      </c>
      <c r="H71" s="7">
        <f t="shared" si="2"/>
        <v>79102.5</v>
      </c>
      <c r="I71" s="233"/>
      <c r="J71" s="7">
        <f t="shared" si="1"/>
        <v>7910.25</v>
      </c>
      <c r="K71" s="279">
        <f aca="true" t="shared" si="3" ref="K71:K134">H71+J71</f>
        <v>87012.75</v>
      </c>
    </row>
    <row r="72" spans="1:11" ht="31.5">
      <c r="A72" s="5" t="s">
        <v>26</v>
      </c>
      <c r="B72" s="12" t="s">
        <v>27</v>
      </c>
      <c r="C72" s="5" t="s">
        <v>1</v>
      </c>
      <c r="D72" s="5">
        <v>22</v>
      </c>
      <c r="E72" s="7">
        <v>2000</v>
      </c>
      <c r="F72" s="5">
        <v>0.995</v>
      </c>
      <c r="G72" s="20">
        <f>D72*E72</f>
        <v>44000</v>
      </c>
      <c r="H72" s="7">
        <f t="shared" si="2"/>
        <v>43780</v>
      </c>
      <c r="I72" s="233"/>
      <c r="J72" s="7">
        <f t="shared" si="1"/>
        <v>4378</v>
      </c>
      <c r="K72" s="279">
        <f t="shared" si="3"/>
        <v>48158</v>
      </c>
    </row>
    <row r="73" spans="1:11" ht="25.5" customHeight="1">
      <c r="A73" s="5" t="s">
        <v>28</v>
      </c>
      <c r="B73" s="12" t="s">
        <v>29</v>
      </c>
      <c r="C73" s="4"/>
      <c r="D73" s="5"/>
      <c r="E73" s="7"/>
      <c r="F73" s="5"/>
      <c r="G73" s="20">
        <f>SUM(G74:G75)</f>
        <v>135000</v>
      </c>
      <c r="H73" s="7">
        <f>H74+H75</f>
        <v>134325</v>
      </c>
      <c r="I73" s="233"/>
      <c r="J73" s="7">
        <f t="shared" si="1"/>
        <v>13432.5</v>
      </c>
      <c r="K73" s="279">
        <f t="shared" si="3"/>
        <v>147757.5</v>
      </c>
    </row>
    <row r="74" spans="1:11" ht="31.5">
      <c r="A74" s="5" t="s">
        <v>30</v>
      </c>
      <c r="B74" s="12" t="s">
        <v>31</v>
      </c>
      <c r="C74" s="5" t="s">
        <v>8</v>
      </c>
      <c r="D74" s="5">
        <v>45</v>
      </c>
      <c r="E74" s="7">
        <v>1500</v>
      </c>
      <c r="F74" s="5">
        <v>0.995</v>
      </c>
      <c r="G74" s="20">
        <f>D74*E74</f>
        <v>67500</v>
      </c>
      <c r="H74" s="7">
        <f t="shared" si="2"/>
        <v>67162.5</v>
      </c>
      <c r="I74" s="233"/>
      <c r="J74" s="7">
        <f t="shared" si="1"/>
        <v>6716.25</v>
      </c>
      <c r="K74" s="279">
        <f t="shared" si="3"/>
        <v>73878.75</v>
      </c>
    </row>
    <row r="75" spans="1:11" ht="31.5">
      <c r="A75" s="5" t="s">
        <v>32</v>
      </c>
      <c r="B75" s="12" t="s">
        <v>33</v>
      </c>
      <c r="C75" s="5" t="s">
        <v>8</v>
      </c>
      <c r="D75" s="5">
        <v>45</v>
      </c>
      <c r="E75" s="7">
        <v>1500</v>
      </c>
      <c r="F75" s="5">
        <v>0.995</v>
      </c>
      <c r="G75" s="20">
        <f>D75*E75</f>
        <v>67500</v>
      </c>
      <c r="H75" s="7">
        <f t="shared" si="2"/>
        <v>67162.5</v>
      </c>
      <c r="I75" s="233"/>
      <c r="J75" s="7">
        <f t="shared" si="1"/>
        <v>6716.25</v>
      </c>
      <c r="K75" s="279">
        <f t="shared" si="3"/>
        <v>73878.75</v>
      </c>
    </row>
    <row r="76" spans="1:11" ht="25.5" customHeight="1">
      <c r="A76" s="5" t="s">
        <v>34</v>
      </c>
      <c r="B76" s="12" t="s">
        <v>35</v>
      </c>
      <c r="C76" s="4"/>
      <c r="D76" s="5"/>
      <c r="E76" s="7"/>
      <c r="F76" s="5"/>
      <c r="G76" s="20">
        <f>SUM(G77:G86)</f>
        <v>787500</v>
      </c>
      <c r="H76" s="7">
        <f>SUM(H77:H86)</f>
        <v>783562.5</v>
      </c>
      <c r="I76" s="233"/>
      <c r="J76" s="7">
        <f t="shared" si="1"/>
        <v>78356.25</v>
      </c>
      <c r="K76" s="279">
        <f t="shared" si="3"/>
        <v>861918.75</v>
      </c>
    </row>
    <row r="77" spans="1:11" ht="31.5">
      <c r="A77" s="5" t="s">
        <v>36</v>
      </c>
      <c r="B77" s="12" t="s">
        <v>37</v>
      </c>
      <c r="C77" s="5" t="s">
        <v>1</v>
      </c>
      <c r="D77" s="5">
        <v>90</v>
      </c>
      <c r="E77" s="7">
        <v>2000</v>
      </c>
      <c r="F77" s="5">
        <v>0.995</v>
      </c>
      <c r="G77" s="20">
        <f>D77*E77</f>
        <v>180000</v>
      </c>
      <c r="H77" s="7">
        <f t="shared" si="2"/>
        <v>179100</v>
      </c>
      <c r="I77" s="233"/>
      <c r="J77" s="7">
        <f t="shared" si="1"/>
        <v>17910</v>
      </c>
      <c r="K77" s="279">
        <f t="shared" si="3"/>
        <v>197010</v>
      </c>
    </row>
    <row r="78" spans="1:11" ht="31.5">
      <c r="A78" s="5" t="s">
        <v>38</v>
      </c>
      <c r="B78" s="12" t="s">
        <v>39</v>
      </c>
      <c r="C78" s="5" t="s">
        <v>8</v>
      </c>
      <c r="D78" s="5">
        <v>45</v>
      </c>
      <c r="E78" s="7">
        <v>1500</v>
      </c>
      <c r="F78" s="5">
        <v>0.995</v>
      </c>
      <c r="G78" s="20">
        <f aca="true" t="shared" si="4" ref="G78:G86">D78*E78</f>
        <v>67500</v>
      </c>
      <c r="H78" s="7">
        <f t="shared" si="2"/>
        <v>67162.5</v>
      </c>
      <c r="I78" s="233"/>
      <c r="J78" s="7">
        <f t="shared" si="1"/>
        <v>6716.25</v>
      </c>
      <c r="K78" s="279">
        <f t="shared" si="3"/>
        <v>73878.75</v>
      </c>
    </row>
    <row r="79" spans="1:11" ht="31.5">
      <c r="A79" s="5" t="s">
        <v>40</v>
      </c>
      <c r="B79" s="12" t="s">
        <v>41</v>
      </c>
      <c r="C79" s="5" t="s">
        <v>8</v>
      </c>
      <c r="D79" s="5">
        <v>45</v>
      </c>
      <c r="E79" s="7">
        <v>1500</v>
      </c>
      <c r="F79" s="5">
        <v>0.995</v>
      </c>
      <c r="G79" s="20">
        <f t="shared" si="4"/>
        <v>67500</v>
      </c>
      <c r="H79" s="7">
        <f t="shared" si="2"/>
        <v>67162.5</v>
      </c>
      <c r="I79" s="233"/>
      <c r="J79" s="7">
        <f t="shared" si="1"/>
        <v>6716.25</v>
      </c>
      <c r="K79" s="279">
        <f t="shared" si="3"/>
        <v>73878.75</v>
      </c>
    </row>
    <row r="80" spans="1:11" ht="31.5">
      <c r="A80" s="5" t="s">
        <v>42</v>
      </c>
      <c r="B80" s="12" t="s">
        <v>43</v>
      </c>
      <c r="C80" s="5" t="s">
        <v>8</v>
      </c>
      <c r="D80" s="5">
        <v>45</v>
      </c>
      <c r="E80" s="7">
        <v>1500</v>
      </c>
      <c r="F80" s="5">
        <v>0.995</v>
      </c>
      <c r="G80" s="20">
        <f t="shared" si="4"/>
        <v>67500</v>
      </c>
      <c r="H80" s="7">
        <f t="shared" si="2"/>
        <v>67162.5</v>
      </c>
      <c r="I80" s="233"/>
      <c r="J80" s="7">
        <f t="shared" si="1"/>
        <v>6716.25</v>
      </c>
      <c r="K80" s="279">
        <f t="shared" si="3"/>
        <v>73878.75</v>
      </c>
    </row>
    <row r="81" spans="1:11" ht="31.5">
      <c r="A81" s="5" t="s">
        <v>44</v>
      </c>
      <c r="B81" s="12" t="s">
        <v>45</v>
      </c>
      <c r="C81" s="5" t="s">
        <v>8</v>
      </c>
      <c r="D81" s="5">
        <v>45</v>
      </c>
      <c r="E81" s="7">
        <v>1500</v>
      </c>
      <c r="F81" s="5">
        <v>0.995</v>
      </c>
      <c r="G81" s="20">
        <f t="shared" si="4"/>
        <v>67500</v>
      </c>
      <c r="H81" s="7">
        <f t="shared" si="2"/>
        <v>67162.5</v>
      </c>
      <c r="I81" s="233"/>
      <c r="J81" s="7">
        <f t="shared" si="1"/>
        <v>6716.25</v>
      </c>
      <c r="K81" s="279">
        <f t="shared" si="3"/>
        <v>73878.75</v>
      </c>
    </row>
    <row r="82" spans="1:11" ht="31.5">
      <c r="A82" s="5" t="s">
        <v>46</v>
      </c>
      <c r="B82" s="12" t="s">
        <v>47</v>
      </c>
      <c r="C82" s="5" t="s">
        <v>8</v>
      </c>
      <c r="D82" s="5">
        <v>45</v>
      </c>
      <c r="E82" s="7">
        <v>1500</v>
      </c>
      <c r="F82" s="5">
        <v>0.995</v>
      </c>
      <c r="G82" s="20">
        <f t="shared" si="4"/>
        <v>67500</v>
      </c>
      <c r="H82" s="7">
        <f t="shared" si="2"/>
        <v>67162.5</v>
      </c>
      <c r="I82" s="233"/>
      <c r="J82" s="7">
        <f t="shared" si="1"/>
        <v>6716.25</v>
      </c>
      <c r="K82" s="279">
        <f t="shared" si="3"/>
        <v>73878.75</v>
      </c>
    </row>
    <row r="83" spans="1:11" ht="31.5">
      <c r="A83" s="5" t="s">
        <v>48</v>
      </c>
      <c r="B83" s="12" t="s">
        <v>49</v>
      </c>
      <c r="C83" s="5" t="s">
        <v>8</v>
      </c>
      <c r="D83" s="5">
        <v>45</v>
      </c>
      <c r="E83" s="7">
        <v>1500</v>
      </c>
      <c r="F83" s="5">
        <v>0.995</v>
      </c>
      <c r="G83" s="20">
        <f t="shared" si="4"/>
        <v>67500</v>
      </c>
      <c r="H83" s="7">
        <f t="shared" si="2"/>
        <v>67162.5</v>
      </c>
      <c r="I83" s="233"/>
      <c r="J83" s="7">
        <f t="shared" si="1"/>
        <v>6716.25</v>
      </c>
      <c r="K83" s="279">
        <f t="shared" si="3"/>
        <v>73878.75</v>
      </c>
    </row>
    <row r="84" spans="1:11" ht="31.5">
      <c r="A84" s="5" t="s">
        <v>50</v>
      </c>
      <c r="B84" s="12" t="s">
        <v>51</v>
      </c>
      <c r="C84" s="5" t="s">
        <v>8</v>
      </c>
      <c r="D84" s="5">
        <v>45</v>
      </c>
      <c r="E84" s="7">
        <v>1500</v>
      </c>
      <c r="F84" s="5">
        <v>0.995</v>
      </c>
      <c r="G84" s="20">
        <f t="shared" si="4"/>
        <v>67500</v>
      </c>
      <c r="H84" s="7">
        <f t="shared" si="2"/>
        <v>67162.5</v>
      </c>
      <c r="I84" s="233"/>
      <c r="J84" s="7">
        <f t="shared" si="1"/>
        <v>6716.25</v>
      </c>
      <c r="K84" s="279">
        <f t="shared" si="3"/>
        <v>73878.75</v>
      </c>
    </row>
    <row r="85" spans="1:11" ht="31.5">
      <c r="A85" s="5" t="s">
        <v>52</v>
      </c>
      <c r="B85" s="12" t="s">
        <v>53</v>
      </c>
      <c r="C85" s="5" t="s">
        <v>8</v>
      </c>
      <c r="D85" s="5">
        <v>45</v>
      </c>
      <c r="E85" s="7">
        <v>1500</v>
      </c>
      <c r="F85" s="5">
        <v>0.995</v>
      </c>
      <c r="G85" s="20">
        <f t="shared" si="4"/>
        <v>67500</v>
      </c>
      <c r="H85" s="7">
        <f t="shared" si="2"/>
        <v>67162.5</v>
      </c>
      <c r="I85" s="233"/>
      <c r="J85" s="7">
        <f t="shared" si="1"/>
        <v>6716.25</v>
      </c>
      <c r="K85" s="279">
        <f t="shared" si="3"/>
        <v>73878.75</v>
      </c>
    </row>
    <row r="86" spans="1:11" ht="31.5">
      <c r="A86" s="5" t="s">
        <v>54</v>
      </c>
      <c r="B86" s="12" t="s">
        <v>55</v>
      </c>
      <c r="C86" s="5" t="s">
        <v>8</v>
      </c>
      <c r="D86" s="5">
        <v>45</v>
      </c>
      <c r="E86" s="7">
        <v>1500</v>
      </c>
      <c r="F86" s="5">
        <v>0.995</v>
      </c>
      <c r="G86" s="20">
        <f t="shared" si="4"/>
        <v>67500</v>
      </c>
      <c r="H86" s="7">
        <f t="shared" si="2"/>
        <v>67162.5</v>
      </c>
      <c r="I86" s="233"/>
      <c r="J86" s="7">
        <f t="shared" si="1"/>
        <v>6716.25</v>
      </c>
      <c r="K86" s="279">
        <f t="shared" si="3"/>
        <v>73878.75</v>
      </c>
    </row>
    <row r="87" spans="1:11" s="13" customFormat="1" ht="47.25">
      <c r="A87" s="249">
        <v>2</v>
      </c>
      <c r="B87" s="11" t="s">
        <v>56</v>
      </c>
      <c r="C87" s="249"/>
      <c r="D87" s="249"/>
      <c r="E87" s="3"/>
      <c r="F87" s="249"/>
      <c r="G87" s="25">
        <f>SUM(G88:G92)+G96</f>
        <v>969000</v>
      </c>
      <c r="H87" s="3">
        <f>SUM(H88:H91)+H92+H96</f>
        <v>964155</v>
      </c>
      <c r="I87" s="281"/>
      <c r="J87" s="3">
        <f t="shared" si="1"/>
        <v>96415.5</v>
      </c>
      <c r="K87" s="278">
        <f t="shared" si="3"/>
        <v>1060570.5</v>
      </c>
    </row>
    <row r="88" spans="1:11" ht="31.5">
      <c r="A88" s="5" t="s">
        <v>2</v>
      </c>
      <c r="B88" s="12" t="s">
        <v>138</v>
      </c>
      <c r="C88" s="5" t="s">
        <v>8</v>
      </c>
      <c r="D88" s="5">
        <v>80</v>
      </c>
      <c r="E88" s="7">
        <v>1500</v>
      </c>
      <c r="F88" s="5">
        <v>0.995</v>
      </c>
      <c r="G88" s="20">
        <f>D88*E88</f>
        <v>120000</v>
      </c>
      <c r="H88" s="7">
        <f t="shared" si="2"/>
        <v>119400</v>
      </c>
      <c r="I88" s="233"/>
      <c r="J88" s="7">
        <f t="shared" si="1"/>
        <v>11940</v>
      </c>
      <c r="K88" s="279">
        <f t="shared" si="3"/>
        <v>131340</v>
      </c>
    </row>
    <row r="89" spans="1:11" ht="31.5">
      <c r="A89" s="5" t="s">
        <v>7</v>
      </c>
      <c r="B89" s="12" t="s">
        <v>139</v>
      </c>
      <c r="C89" s="5" t="s">
        <v>8</v>
      </c>
      <c r="D89" s="5">
        <v>80</v>
      </c>
      <c r="E89" s="7">
        <v>1500</v>
      </c>
      <c r="F89" s="5">
        <v>0.995</v>
      </c>
      <c r="G89" s="20">
        <f>D89*E89</f>
        <v>120000</v>
      </c>
      <c r="H89" s="7">
        <f t="shared" si="2"/>
        <v>119400</v>
      </c>
      <c r="I89" s="233"/>
      <c r="J89" s="7">
        <f t="shared" si="1"/>
        <v>11940</v>
      </c>
      <c r="K89" s="279">
        <f t="shared" si="3"/>
        <v>131340</v>
      </c>
    </row>
    <row r="90" spans="1:11" ht="31.5">
      <c r="A90" s="5" t="s">
        <v>9</v>
      </c>
      <c r="B90" s="12" t="s">
        <v>140</v>
      </c>
      <c r="C90" s="5" t="s">
        <v>8</v>
      </c>
      <c r="D90" s="5">
        <v>120</v>
      </c>
      <c r="E90" s="7">
        <v>1500</v>
      </c>
      <c r="F90" s="5">
        <v>0.995</v>
      </c>
      <c r="G90" s="20">
        <f>D90*E90</f>
        <v>180000</v>
      </c>
      <c r="H90" s="7">
        <f t="shared" si="2"/>
        <v>179100</v>
      </c>
      <c r="I90" s="233"/>
      <c r="J90" s="7">
        <f t="shared" si="1"/>
        <v>17910</v>
      </c>
      <c r="K90" s="279">
        <f t="shared" si="3"/>
        <v>197010</v>
      </c>
    </row>
    <row r="91" spans="1:11" ht="31.5">
      <c r="A91" s="5" t="s">
        <v>28</v>
      </c>
      <c r="B91" s="12" t="s">
        <v>57</v>
      </c>
      <c r="C91" s="5" t="s">
        <v>6</v>
      </c>
      <c r="D91" s="5">
        <v>120</v>
      </c>
      <c r="E91" s="7">
        <v>2000</v>
      </c>
      <c r="F91" s="5">
        <v>0.995</v>
      </c>
      <c r="G91" s="20">
        <f>D91*E91</f>
        <v>240000</v>
      </c>
      <c r="H91" s="7">
        <f t="shared" si="2"/>
        <v>238800</v>
      </c>
      <c r="I91" s="233"/>
      <c r="J91" s="7">
        <f t="shared" si="1"/>
        <v>23880</v>
      </c>
      <c r="K91" s="279">
        <f t="shared" si="3"/>
        <v>262680</v>
      </c>
    </row>
    <row r="92" spans="1:11" ht="31.5">
      <c r="A92" s="5" t="s">
        <v>34</v>
      </c>
      <c r="B92" s="12" t="s">
        <v>141</v>
      </c>
      <c r="C92" s="5"/>
      <c r="D92" s="5"/>
      <c r="E92" s="7"/>
      <c r="F92" s="5"/>
      <c r="G92" s="20">
        <f>SUM(G93:G95)</f>
        <v>189000</v>
      </c>
      <c r="H92" s="7">
        <f>SUM(H93:H95)</f>
        <v>188055</v>
      </c>
      <c r="I92" s="233"/>
      <c r="J92" s="7">
        <f t="shared" si="1"/>
        <v>18805.5</v>
      </c>
      <c r="K92" s="279">
        <f t="shared" si="3"/>
        <v>206860.5</v>
      </c>
    </row>
    <row r="93" spans="1:11" ht="31.5">
      <c r="A93" s="5" t="s">
        <v>36</v>
      </c>
      <c r="B93" s="12" t="s">
        <v>142</v>
      </c>
      <c r="C93" s="5" t="s">
        <v>8</v>
      </c>
      <c r="D93" s="5">
        <v>47</v>
      </c>
      <c r="E93" s="7">
        <v>1500</v>
      </c>
      <c r="F93" s="5">
        <v>0.995</v>
      </c>
      <c r="G93" s="20">
        <f>D93*E93</f>
        <v>70500</v>
      </c>
      <c r="H93" s="7">
        <f t="shared" si="2"/>
        <v>70147.5</v>
      </c>
      <c r="I93" s="233"/>
      <c r="J93" s="7">
        <f t="shared" si="1"/>
        <v>7014.75</v>
      </c>
      <c r="K93" s="279">
        <f t="shared" si="3"/>
        <v>77162.25</v>
      </c>
    </row>
    <row r="94" spans="1:11" ht="31.5">
      <c r="A94" s="5" t="s">
        <v>38</v>
      </c>
      <c r="B94" s="12" t="s">
        <v>143</v>
      </c>
      <c r="C94" s="5" t="s">
        <v>8</v>
      </c>
      <c r="D94" s="5">
        <v>52</v>
      </c>
      <c r="E94" s="7">
        <v>1500</v>
      </c>
      <c r="F94" s="5">
        <v>0.995</v>
      </c>
      <c r="G94" s="20">
        <f>D94*E94</f>
        <v>78000</v>
      </c>
      <c r="H94" s="7">
        <f t="shared" si="2"/>
        <v>77610</v>
      </c>
      <c r="I94" s="233"/>
      <c r="J94" s="7">
        <f t="shared" si="1"/>
        <v>7761</v>
      </c>
      <c r="K94" s="279">
        <f t="shared" si="3"/>
        <v>85371</v>
      </c>
    </row>
    <row r="95" spans="1:11" ht="31.5">
      <c r="A95" s="5" t="s">
        <v>40</v>
      </c>
      <c r="B95" s="12" t="s">
        <v>144</v>
      </c>
      <c r="C95" s="5" t="s">
        <v>8</v>
      </c>
      <c r="D95" s="5">
        <v>27</v>
      </c>
      <c r="E95" s="7">
        <v>1500</v>
      </c>
      <c r="F95" s="5">
        <v>0.995</v>
      </c>
      <c r="G95" s="20">
        <f>D95*E95</f>
        <v>40500</v>
      </c>
      <c r="H95" s="7">
        <f t="shared" si="2"/>
        <v>40297.5</v>
      </c>
      <c r="I95" s="233"/>
      <c r="J95" s="7">
        <f t="shared" si="1"/>
        <v>4029.75</v>
      </c>
      <c r="K95" s="279">
        <f t="shared" si="3"/>
        <v>44327.25</v>
      </c>
    </row>
    <row r="96" spans="1:11" ht="31.5">
      <c r="A96" s="5" t="s">
        <v>73</v>
      </c>
      <c r="B96" s="12" t="s">
        <v>145</v>
      </c>
      <c r="C96" s="5" t="s">
        <v>8</v>
      </c>
      <c r="D96" s="5">
        <v>80</v>
      </c>
      <c r="E96" s="7">
        <v>1500</v>
      </c>
      <c r="F96" s="5">
        <v>0.995</v>
      </c>
      <c r="G96" s="20">
        <f>D96*E96</f>
        <v>120000</v>
      </c>
      <c r="H96" s="7">
        <f t="shared" si="2"/>
        <v>119400</v>
      </c>
      <c r="I96" s="233"/>
      <c r="J96" s="7">
        <f t="shared" si="1"/>
        <v>11940</v>
      </c>
      <c r="K96" s="279">
        <f t="shared" si="3"/>
        <v>131340</v>
      </c>
    </row>
    <row r="97" spans="1:11" s="13" customFormat="1" ht="47.25">
      <c r="A97" s="249">
        <v>3</v>
      </c>
      <c r="B97" s="11" t="s">
        <v>58</v>
      </c>
      <c r="C97" s="14"/>
      <c r="D97" s="249"/>
      <c r="E97" s="3"/>
      <c r="F97" s="249"/>
      <c r="G97" s="25">
        <f>SUM(G98:G101)+G106</f>
        <v>3082000</v>
      </c>
      <c r="H97" s="3">
        <f>SUM(H98:H101)+H106</f>
        <v>3066590</v>
      </c>
      <c r="I97" s="281"/>
      <c r="J97" s="3">
        <f t="shared" si="1"/>
        <v>306659</v>
      </c>
      <c r="K97" s="278">
        <f t="shared" si="3"/>
        <v>3373249</v>
      </c>
    </row>
    <row r="98" spans="1:11" ht="63">
      <c r="A98" s="5" t="s">
        <v>2</v>
      </c>
      <c r="B98" s="12" t="s">
        <v>146</v>
      </c>
      <c r="C98" s="5" t="s">
        <v>8</v>
      </c>
      <c r="D98" s="5">
        <v>150</v>
      </c>
      <c r="E98" s="7">
        <v>1500</v>
      </c>
      <c r="F98" s="5">
        <v>0.995</v>
      </c>
      <c r="G98" s="20">
        <f>D98*E98</f>
        <v>225000</v>
      </c>
      <c r="H98" s="7">
        <f t="shared" si="2"/>
        <v>223875</v>
      </c>
      <c r="I98" s="233"/>
      <c r="J98" s="7">
        <f t="shared" si="1"/>
        <v>22387.5</v>
      </c>
      <c r="K98" s="279">
        <f t="shared" si="3"/>
        <v>246262.5</v>
      </c>
    </row>
    <row r="99" spans="1:11" ht="63">
      <c r="A99" s="5" t="s">
        <v>7</v>
      </c>
      <c r="B99" s="12" t="s">
        <v>59</v>
      </c>
      <c r="C99" s="5" t="s">
        <v>8</v>
      </c>
      <c r="D99" s="5">
        <v>120</v>
      </c>
      <c r="E99" s="7">
        <v>1500</v>
      </c>
      <c r="F99" s="5">
        <v>0.995</v>
      </c>
      <c r="G99" s="20">
        <f>D99*E99</f>
        <v>180000</v>
      </c>
      <c r="H99" s="7">
        <f t="shared" si="2"/>
        <v>179100</v>
      </c>
      <c r="I99" s="233"/>
      <c r="J99" s="7">
        <f t="shared" si="1"/>
        <v>17910</v>
      </c>
      <c r="K99" s="279">
        <f t="shared" si="3"/>
        <v>197010</v>
      </c>
    </row>
    <row r="100" spans="1:11" ht="47.25">
      <c r="A100" s="5" t="s">
        <v>9</v>
      </c>
      <c r="B100" s="12" t="s">
        <v>147</v>
      </c>
      <c r="C100" s="5" t="s">
        <v>8</v>
      </c>
      <c r="D100" s="5">
        <v>120</v>
      </c>
      <c r="E100" s="7">
        <v>1500</v>
      </c>
      <c r="F100" s="5">
        <v>0.995</v>
      </c>
      <c r="G100" s="20">
        <f>D100*E100</f>
        <v>180000</v>
      </c>
      <c r="H100" s="7">
        <f t="shared" si="2"/>
        <v>179100</v>
      </c>
      <c r="I100" s="233"/>
      <c r="J100" s="7">
        <f t="shared" si="1"/>
        <v>17910</v>
      </c>
      <c r="K100" s="279">
        <f t="shared" si="3"/>
        <v>197010</v>
      </c>
    </row>
    <row r="101" spans="1:11" ht="63">
      <c r="A101" s="5" t="s">
        <v>28</v>
      </c>
      <c r="B101" s="12" t="s">
        <v>148</v>
      </c>
      <c r="C101" s="5"/>
      <c r="D101" s="5"/>
      <c r="E101" s="7"/>
      <c r="F101" s="5">
        <v>0.995</v>
      </c>
      <c r="G101" s="20">
        <f>SUM(G102:G105)</f>
        <v>1301000</v>
      </c>
      <c r="H101" s="7">
        <f>SUM(H102:H105)</f>
        <v>1294495</v>
      </c>
      <c r="I101" s="233"/>
      <c r="J101" s="7">
        <f t="shared" si="1"/>
        <v>129449.5</v>
      </c>
      <c r="K101" s="279">
        <f t="shared" si="3"/>
        <v>1423944.5</v>
      </c>
    </row>
    <row r="102" spans="1:11" ht="47.25">
      <c r="A102" s="5" t="s">
        <v>30</v>
      </c>
      <c r="B102" s="12" t="s">
        <v>60</v>
      </c>
      <c r="C102" s="5" t="s">
        <v>8</v>
      </c>
      <c r="D102" s="5">
        <v>72</v>
      </c>
      <c r="E102" s="7">
        <v>1500</v>
      </c>
      <c r="F102" s="5">
        <v>0.995</v>
      </c>
      <c r="G102" s="20">
        <f>D102*E102</f>
        <v>108000</v>
      </c>
      <c r="H102" s="7">
        <f t="shared" si="2"/>
        <v>107460</v>
      </c>
      <c r="I102" s="233"/>
      <c r="J102" s="7">
        <f t="shared" si="1"/>
        <v>10746</v>
      </c>
      <c r="K102" s="279">
        <f t="shared" si="3"/>
        <v>118206</v>
      </c>
    </row>
    <row r="103" spans="1:11" ht="63">
      <c r="A103" s="5" t="s">
        <v>32</v>
      </c>
      <c r="B103" s="12" t="s">
        <v>61</v>
      </c>
      <c r="C103" s="5" t="s">
        <v>8</v>
      </c>
      <c r="D103" s="5">
        <v>102</v>
      </c>
      <c r="E103" s="7">
        <v>1500</v>
      </c>
      <c r="F103" s="5">
        <v>0.995</v>
      </c>
      <c r="G103" s="20">
        <f>D103*E103</f>
        <v>153000</v>
      </c>
      <c r="H103" s="7">
        <f t="shared" si="2"/>
        <v>152235</v>
      </c>
      <c r="I103" s="233"/>
      <c r="J103" s="7">
        <f t="shared" si="1"/>
        <v>15223.5</v>
      </c>
      <c r="K103" s="279">
        <f t="shared" si="3"/>
        <v>167458.5</v>
      </c>
    </row>
    <row r="104" spans="1:11" ht="31.5">
      <c r="A104" s="5" t="s">
        <v>149</v>
      </c>
      <c r="B104" s="12" t="s">
        <v>62</v>
      </c>
      <c r="C104" s="5" t="s">
        <v>1</v>
      </c>
      <c r="D104" s="5">
        <v>114</v>
      </c>
      <c r="E104" s="7">
        <v>2000</v>
      </c>
      <c r="F104" s="5">
        <v>0.995</v>
      </c>
      <c r="G104" s="20">
        <f>D104*E104</f>
        <v>228000</v>
      </c>
      <c r="H104" s="7">
        <f t="shared" si="2"/>
        <v>226860</v>
      </c>
      <c r="I104" s="233"/>
      <c r="J104" s="7">
        <f t="shared" si="1"/>
        <v>22686</v>
      </c>
      <c r="K104" s="279">
        <f t="shared" si="3"/>
        <v>249546</v>
      </c>
    </row>
    <row r="105" spans="1:11" ht="31.5">
      <c r="A105" s="5" t="s">
        <v>150</v>
      </c>
      <c r="B105" s="12" t="s">
        <v>151</v>
      </c>
      <c r="C105" s="5" t="s">
        <v>1</v>
      </c>
      <c r="D105" s="5">
        <v>406</v>
      </c>
      <c r="E105" s="7">
        <v>2000</v>
      </c>
      <c r="F105" s="5">
        <v>0.995</v>
      </c>
      <c r="G105" s="20">
        <f>D105*E105</f>
        <v>812000</v>
      </c>
      <c r="H105" s="7">
        <f t="shared" si="2"/>
        <v>807940</v>
      </c>
      <c r="I105" s="233"/>
      <c r="J105" s="7">
        <f t="shared" si="1"/>
        <v>80794</v>
      </c>
      <c r="K105" s="279">
        <f t="shared" si="3"/>
        <v>888734</v>
      </c>
    </row>
    <row r="106" spans="1:11" ht="47.25">
      <c r="A106" s="5" t="s">
        <v>34</v>
      </c>
      <c r="B106" s="12" t="s">
        <v>152</v>
      </c>
      <c r="C106" s="5"/>
      <c r="D106" s="5"/>
      <c r="E106" s="7"/>
      <c r="F106" s="5"/>
      <c r="G106" s="20">
        <f>SUM(G107:G108)</f>
        <v>1196000</v>
      </c>
      <c r="H106" s="7">
        <f>H107+H108</f>
        <v>1190020</v>
      </c>
      <c r="I106" s="233"/>
      <c r="J106" s="7">
        <f t="shared" si="1"/>
        <v>119002</v>
      </c>
      <c r="K106" s="279">
        <f t="shared" si="3"/>
        <v>1309022</v>
      </c>
    </row>
    <row r="107" spans="1:11" ht="31.5">
      <c r="A107" s="5" t="s">
        <v>36</v>
      </c>
      <c r="B107" s="12" t="s">
        <v>153</v>
      </c>
      <c r="C107" s="5" t="s">
        <v>1</v>
      </c>
      <c r="D107" s="5">
        <v>222</v>
      </c>
      <c r="E107" s="7">
        <v>2000</v>
      </c>
      <c r="F107" s="5">
        <v>0.995</v>
      </c>
      <c r="G107" s="20">
        <f>D107*E107</f>
        <v>444000</v>
      </c>
      <c r="H107" s="7">
        <f t="shared" si="2"/>
        <v>441780</v>
      </c>
      <c r="I107" s="233"/>
      <c r="J107" s="7">
        <f t="shared" si="1"/>
        <v>44178</v>
      </c>
      <c r="K107" s="279">
        <f t="shared" si="3"/>
        <v>485958</v>
      </c>
    </row>
    <row r="108" spans="1:11" ht="31.5">
      <c r="A108" s="5" t="s">
        <v>38</v>
      </c>
      <c r="B108" s="12" t="s">
        <v>63</v>
      </c>
      <c r="C108" s="5" t="s">
        <v>1</v>
      </c>
      <c r="D108" s="5">
        <v>376</v>
      </c>
      <c r="E108" s="7">
        <v>2000</v>
      </c>
      <c r="F108" s="5">
        <v>0.995</v>
      </c>
      <c r="G108" s="20">
        <f>D108*E108</f>
        <v>752000</v>
      </c>
      <c r="H108" s="7">
        <f t="shared" si="2"/>
        <v>748240</v>
      </c>
      <c r="I108" s="233"/>
      <c r="J108" s="7">
        <f t="shared" si="1"/>
        <v>74824</v>
      </c>
      <c r="K108" s="279">
        <f t="shared" si="3"/>
        <v>823064</v>
      </c>
    </row>
    <row r="109" spans="1:11" s="13" customFormat="1" ht="31.5">
      <c r="A109" s="249">
        <v>4</v>
      </c>
      <c r="B109" s="11" t="s">
        <v>66</v>
      </c>
      <c r="C109" s="14"/>
      <c r="D109" s="249"/>
      <c r="E109" s="3"/>
      <c r="F109" s="249"/>
      <c r="G109" s="25">
        <f>G110+G113+G116+G117+G124</f>
        <v>784000</v>
      </c>
      <c r="H109" s="3">
        <f>H110+H113+H116+H117+H124</f>
        <v>780080</v>
      </c>
      <c r="I109" s="281"/>
      <c r="J109" s="3">
        <f t="shared" si="1"/>
        <v>78008</v>
      </c>
      <c r="K109" s="278">
        <f t="shared" si="3"/>
        <v>858088</v>
      </c>
    </row>
    <row r="110" spans="1:11" ht="31.5">
      <c r="A110" s="5" t="s">
        <v>2</v>
      </c>
      <c r="B110" s="12" t="s">
        <v>67</v>
      </c>
      <c r="C110" s="4"/>
      <c r="D110" s="5"/>
      <c r="E110" s="7"/>
      <c r="F110" s="5"/>
      <c r="G110" s="20">
        <f>SUM(G111:G112)</f>
        <v>146000</v>
      </c>
      <c r="H110" s="7">
        <f>H111+H112</f>
        <v>145270</v>
      </c>
      <c r="I110" s="233"/>
      <c r="J110" s="7">
        <f t="shared" si="1"/>
        <v>14527</v>
      </c>
      <c r="K110" s="279">
        <f t="shared" si="3"/>
        <v>159797</v>
      </c>
    </row>
    <row r="111" spans="1:11" ht="31.5">
      <c r="A111" s="5" t="s">
        <v>3</v>
      </c>
      <c r="B111" s="12" t="s">
        <v>154</v>
      </c>
      <c r="C111" s="5" t="s">
        <v>6</v>
      </c>
      <c r="D111" s="5">
        <v>33</v>
      </c>
      <c r="E111" s="7">
        <v>2000</v>
      </c>
      <c r="F111" s="5">
        <v>0.995</v>
      </c>
      <c r="G111" s="20">
        <f>D111*E111</f>
        <v>66000</v>
      </c>
      <c r="H111" s="7">
        <f t="shared" si="2"/>
        <v>65670</v>
      </c>
      <c r="I111" s="233"/>
      <c r="J111" s="7">
        <f t="shared" si="1"/>
        <v>6567</v>
      </c>
      <c r="K111" s="279">
        <f t="shared" si="3"/>
        <v>72237</v>
      </c>
    </row>
    <row r="112" spans="1:11" ht="94.5">
      <c r="A112" s="5" t="s">
        <v>5</v>
      </c>
      <c r="B112" s="12" t="s">
        <v>155</v>
      </c>
      <c r="C112" s="5" t="s">
        <v>6</v>
      </c>
      <c r="D112" s="5">
        <v>40</v>
      </c>
      <c r="E112" s="7">
        <v>2000</v>
      </c>
      <c r="F112" s="5">
        <v>0.995</v>
      </c>
      <c r="G112" s="20">
        <f>D112*E112</f>
        <v>80000</v>
      </c>
      <c r="H112" s="7">
        <f t="shared" si="2"/>
        <v>79600</v>
      </c>
      <c r="I112" s="233"/>
      <c r="J112" s="7">
        <f t="shared" si="1"/>
        <v>7960</v>
      </c>
      <c r="K112" s="279">
        <f t="shared" si="3"/>
        <v>87560</v>
      </c>
    </row>
    <row r="113" spans="1:11" ht="31.5">
      <c r="A113" s="5" t="s">
        <v>7</v>
      </c>
      <c r="B113" s="12" t="s">
        <v>156</v>
      </c>
      <c r="C113" s="5"/>
      <c r="D113" s="5"/>
      <c r="E113" s="7"/>
      <c r="F113" s="5">
        <v>0.995</v>
      </c>
      <c r="G113" s="20">
        <f>SUM(G114:G115)</f>
        <v>192000</v>
      </c>
      <c r="H113" s="7">
        <f>H114+H115</f>
        <v>191040</v>
      </c>
      <c r="I113" s="233"/>
      <c r="J113" s="7">
        <f t="shared" si="1"/>
        <v>19104</v>
      </c>
      <c r="K113" s="279">
        <f t="shared" si="3"/>
        <v>210144</v>
      </c>
    </row>
    <row r="114" spans="1:11" ht="31.5">
      <c r="A114" s="5" t="s">
        <v>13</v>
      </c>
      <c r="B114" s="12" t="s">
        <v>64</v>
      </c>
      <c r="C114" s="5" t="s">
        <v>6</v>
      </c>
      <c r="D114" s="5">
        <v>48</v>
      </c>
      <c r="E114" s="7">
        <v>2000</v>
      </c>
      <c r="F114" s="5">
        <v>0.995</v>
      </c>
      <c r="G114" s="20">
        <f>D114*E114</f>
        <v>96000</v>
      </c>
      <c r="H114" s="7">
        <f t="shared" si="2"/>
        <v>95520</v>
      </c>
      <c r="I114" s="233"/>
      <c r="J114" s="7">
        <f t="shared" si="1"/>
        <v>9552</v>
      </c>
      <c r="K114" s="279">
        <f t="shared" si="3"/>
        <v>105072</v>
      </c>
    </row>
    <row r="115" spans="1:11" ht="31.5">
      <c r="A115" s="5" t="s">
        <v>15</v>
      </c>
      <c r="B115" s="12" t="s">
        <v>65</v>
      </c>
      <c r="C115" s="5" t="s">
        <v>6</v>
      </c>
      <c r="D115" s="5">
        <v>48</v>
      </c>
      <c r="E115" s="7">
        <v>2000</v>
      </c>
      <c r="F115" s="5">
        <v>0.995</v>
      </c>
      <c r="G115" s="20">
        <f>D115*E115</f>
        <v>96000</v>
      </c>
      <c r="H115" s="7">
        <f t="shared" si="2"/>
        <v>95520</v>
      </c>
      <c r="I115" s="233"/>
      <c r="J115" s="7">
        <f t="shared" si="1"/>
        <v>9552</v>
      </c>
      <c r="K115" s="279">
        <f t="shared" si="3"/>
        <v>105072</v>
      </c>
    </row>
    <row r="116" spans="1:11" ht="47.25">
      <c r="A116" s="5" t="s">
        <v>205</v>
      </c>
      <c r="B116" s="12" t="s">
        <v>206</v>
      </c>
      <c r="C116" s="5" t="s">
        <v>6</v>
      </c>
      <c r="D116" s="5">
        <v>35</v>
      </c>
      <c r="E116" s="7">
        <v>2000</v>
      </c>
      <c r="F116" s="5">
        <v>0.995</v>
      </c>
      <c r="G116" s="20">
        <f>D116*E116</f>
        <v>70000</v>
      </c>
      <c r="H116" s="7">
        <f t="shared" si="2"/>
        <v>69650</v>
      </c>
      <c r="I116" s="233"/>
      <c r="J116" s="7">
        <f t="shared" si="1"/>
        <v>6965</v>
      </c>
      <c r="K116" s="279">
        <f t="shared" si="3"/>
        <v>76615</v>
      </c>
    </row>
    <row r="117" spans="1:11" ht="78.75">
      <c r="A117" s="5" t="s">
        <v>28</v>
      </c>
      <c r="B117" s="12" t="s">
        <v>157</v>
      </c>
      <c r="C117" s="5"/>
      <c r="D117" s="5"/>
      <c r="E117" s="7"/>
      <c r="F117" s="5"/>
      <c r="G117" s="20">
        <f>SUM(G118:G123)</f>
        <v>306000</v>
      </c>
      <c r="H117" s="7">
        <f>SUM(H118:H123)</f>
        <v>304470</v>
      </c>
      <c r="I117" s="233"/>
      <c r="J117" s="7">
        <f t="shared" si="1"/>
        <v>30447</v>
      </c>
      <c r="K117" s="279">
        <f t="shared" si="3"/>
        <v>334917</v>
      </c>
    </row>
    <row r="118" spans="1:11" ht="47.25">
      <c r="A118" s="5" t="s">
        <v>30</v>
      </c>
      <c r="B118" s="12" t="s">
        <v>158</v>
      </c>
      <c r="C118" s="5" t="s">
        <v>4</v>
      </c>
      <c r="D118" s="5">
        <v>33</v>
      </c>
      <c r="E118" s="7">
        <v>1500</v>
      </c>
      <c r="F118" s="5">
        <v>0.995</v>
      </c>
      <c r="G118" s="20">
        <f aca="true" t="shared" si="5" ref="G118:G124">D118*E118</f>
        <v>49500</v>
      </c>
      <c r="H118" s="7">
        <f t="shared" si="2"/>
        <v>49252.5</v>
      </c>
      <c r="I118" s="233"/>
      <c r="J118" s="7">
        <f t="shared" si="1"/>
        <v>4925.25</v>
      </c>
      <c r="K118" s="279">
        <f t="shared" si="3"/>
        <v>54177.75</v>
      </c>
    </row>
    <row r="119" spans="1:11" ht="47.25">
      <c r="A119" s="5" t="s">
        <v>32</v>
      </c>
      <c r="B119" s="12" t="s">
        <v>159</v>
      </c>
      <c r="C119" s="5" t="s">
        <v>4</v>
      </c>
      <c r="D119" s="5">
        <v>33</v>
      </c>
      <c r="E119" s="7">
        <v>1500</v>
      </c>
      <c r="F119" s="5">
        <v>0.995</v>
      </c>
      <c r="G119" s="20">
        <f t="shared" si="5"/>
        <v>49500</v>
      </c>
      <c r="H119" s="7">
        <f t="shared" si="2"/>
        <v>49252.5</v>
      </c>
      <c r="I119" s="233"/>
      <c r="J119" s="7">
        <f t="shared" si="1"/>
        <v>4925.25</v>
      </c>
      <c r="K119" s="279">
        <f t="shared" si="3"/>
        <v>54177.75</v>
      </c>
    </row>
    <row r="120" spans="1:11" ht="63">
      <c r="A120" s="5" t="s">
        <v>149</v>
      </c>
      <c r="B120" s="12" t="s">
        <v>160</v>
      </c>
      <c r="C120" s="5" t="s">
        <v>4</v>
      </c>
      <c r="D120" s="5">
        <v>33</v>
      </c>
      <c r="E120" s="7">
        <v>1500</v>
      </c>
      <c r="F120" s="5">
        <v>0.995</v>
      </c>
      <c r="G120" s="20">
        <f t="shared" si="5"/>
        <v>49500</v>
      </c>
      <c r="H120" s="7">
        <f t="shared" si="2"/>
        <v>49252.5</v>
      </c>
      <c r="I120" s="233"/>
      <c r="J120" s="7">
        <f t="shared" si="1"/>
        <v>4925.25</v>
      </c>
      <c r="K120" s="279">
        <f t="shared" si="3"/>
        <v>54177.75</v>
      </c>
    </row>
    <row r="121" spans="1:11" ht="15.75">
      <c r="A121" s="5" t="s">
        <v>150</v>
      </c>
      <c r="B121" s="12" t="s">
        <v>69</v>
      </c>
      <c r="C121" s="5" t="s">
        <v>4</v>
      </c>
      <c r="D121" s="5">
        <v>35</v>
      </c>
      <c r="E121" s="7">
        <v>1500</v>
      </c>
      <c r="F121" s="5">
        <v>0.995</v>
      </c>
      <c r="G121" s="20">
        <f t="shared" si="5"/>
        <v>52500</v>
      </c>
      <c r="H121" s="7">
        <f t="shared" si="2"/>
        <v>52237.5</v>
      </c>
      <c r="I121" s="233"/>
      <c r="J121" s="7">
        <f t="shared" si="1"/>
        <v>5223.75</v>
      </c>
      <c r="K121" s="279">
        <f t="shared" si="3"/>
        <v>57461.25</v>
      </c>
    </row>
    <row r="122" spans="1:11" ht="15.75">
      <c r="A122" s="5" t="s">
        <v>161</v>
      </c>
      <c r="B122" s="12" t="s">
        <v>70</v>
      </c>
      <c r="C122" s="5" t="s">
        <v>4</v>
      </c>
      <c r="D122" s="5">
        <v>35</v>
      </c>
      <c r="E122" s="7">
        <v>1500</v>
      </c>
      <c r="F122" s="5">
        <v>0.995</v>
      </c>
      <c r="G122" s="20">
        <f t="shared" si="5"/>
        <v>52500</v>
      </c>
      <c r="H122" s="7">
        <f t="shared" si="2"/>
        <v>52237.5</v>
      </c>
      <c r="I122" s="233"/>
      <c r="J122" s="7">
        <f t="shared" si="1"/>
        <v>5223.75</v>
      </c>
      <c r="K122" s="279">
        <f t="shared" si="3"/>
        <v>57461.25</v>
      </c>
    </row>
    <row r="123" spans="1:11" ht="31.5">
      <c r="A123" s="5" t="s">
        <v>162</v>
      </c>
      <c r="B123" s="12" t="s">
        <v>163</v>
      </c>
      <c r="C123" s="5" t="s">
        <v>4</v>
      </c>
      <c r="D123" s="5">
        <v>35</v>
      </c>
      <c r="E123" s="7">
        <v>1500</v>
      </c>
      <c r="F123" s="5">
        <v>0.995</v>
      </c>
      <c r="G123" s="20">
        <f t="shared" si="5"/>
        <v>52500</v>
      </c>
      <c r="H123" s="7">
        <f t="shared" si="2"/>
        <v>52237.5</v>
      </c>
      <c r="I123" s="233"/>
      <c r="J123" s="7">
        <f t="shared" si="1"/>
        <v>5223.75</v>
      </c>
      <c r="K123" s="279">
        <f t="shared" si="3"/>
        <v>57461.25</v>
      </c>
    </row>
    <row r="124" spans="1:11" ht="47.25">
      <c r="A124" s="5" t="s">
        <v>34</v>
      </c>
      <c r="B124" s="12" t="s">
        <v>68</v>
      </c>
      <c r="C124" s="5" t="s">
        <v>6</v>
      </c>
      <c r="D124" s="5">
        <v>35</v>
      </c>
      <c r="E124" s="7">
        <v>2000</v>
      </c>
      <c r="F124" s="5">
        <v>0.995</v>
      </c>
      <c r="G124" s="20">
        <f t="shared" si="5"/>
        <v>70000</v>
      </c>
      <c r="H124" s="7">
        <f t="shared" si="2"/>
        <v>69650</v>
      </c>
      <c r="I124" s="233"/>
      <c r="J124" s="7">
        <f t="shared" si="1"/>
        <v>6965</v>
      </c>
      <c r="K124" s="279">
        <f t="shared" si="3"/>
        <v>76615</v>
      </c>
    </row>
    <row r="125" spans="1:11" s="13" customFormat="1" ht="31.5">
      <c r="A125" s="249">
        <v>5</v>
      </c>
      <c r="B125" s="11" t="s">
        <v>164</v>
      </c>
      <c r="C125" s="14"/>
      <c r="D125" s="249"/>
      <c r="E125" s="3"/>
      <c r="F125" s="249"/>
      <c r="G125" s="25">
        <f>SUM(G126:G128)</f>
        <v>232500</v>
      </c>
      <c r="H125" s="3">
        <f>SUM(H126:H128)</f>
        <v>231337.5</v>
      </c>
      <c r="I125" s="281"/>
      <c r="J125" s="3">
        <f t="shared" si="1"/>
        <v>23133.75</v>
      </c>
      <c r="K125" s="278">
        <f t="shared" si="3"/>
        <v>254471.25</v>
      </c>
    </row>
    <row r="126" spans="1:11" ht="31.5">
      <c r="A126" s="5" t="s">
        <v>2</v>
      </c>
      <c r="B126" s="12" t="s">
        <v>71</v>
      </c>
      <c r="C126" s="5" t="s">
        <v>1</v>
      </c>
      <c r="D126" s="5">
        <v>51</v>
      </c>
      <c r="E126" s="7">
        <v>2000</v>
      </c>
      <c r="F126" s="5">
        <v>0.995</v>
      </c>
      <c r="G126" s="20">
        <f>D126*E126</f>
        <v>102000</v>
      </c>
      <c r="H126" s="7">
        <f t="shared" si="2"/>
        <v>101490</v>
      </c>
      <c r="I126" s="233"/>
      <c r="J126" s="7">
        <f aca="true" t="shared" si="6" ref="J126:J189">H126*0.1</f>
        <v>10149</v>
      </c>
      <c r="K126" s="279">
        <f t="shared" si="3"/>
        <v>111639</v>
      </c>
    </row>
    <row r="127" spans="1:11" ht="31.5">
      <c r="A127" s="5" t="s">
        <v>7</v>
      </c>
      <c r="B127" s="12" t="s">
        <v>72</v>
      </c>
      <c r="C127" s="5" t="s">
        <v>8</v>
      </c>
      <c r="D127" s="5">
        <v>49</v>
      </c>
      <c r="E127" s="7">
        <v>1500</v>
      </c>
      <c r="F127" s="5">
        <v>0.995</v>
      </c>
      <c r="G127" s="20">
        <f>D127*E127</f>
        <v>73500</v>
      </c>
      <c r="H127" s="7">
        <f t="shared" si="2"/>
        <v>73132.5</v>
      </c>
      <c r="I127" s="233"/>
      <c r="J127" s="7">
        <f t="shared" si="6"/>
        <v>7313.25</v>
      </c>
      <c r="K127" s="279">
        <f t="shared" si="3"/>
        <v>80445.75</v>
      </c>
    </row>
    <row r="128" spans="1:11" ht="31.5">
      <c r="A128" s="5" t="s">
        <v>9</v>
      </c>
      <c r="B128" s="12" t="s">
        <v>165</v>
      </c>
      <c r="C128" s="5" t="s">
        <v>8</v>
      </c>
      <c r="D128" s="5">
        <v>38</v>
      </c>
      <c r="E128" s="7">
        <v>1500</v>
      </c>
      <c r="F128" s="5">
        <v>0.995</v>
      </c>
      <c r="G128" s="20">
        <f>D128*E128</f>
        <v>57000</v>
      </c>
      <c r="H128" s="7">
        <f t="shared" si="2"/>
        <v>56715</v>
      </c>
      <c r="I128" s="233"/>
      <c r="J128" s="7">
        <f t="shared" si="6"/>
        <v>5671.5</v>
      </c>
      <c r="K128" s="279">
        <f t="shared" si="3"/>
        <v>62386.5</v>
      </c>
    </row>
    <row r="129" spans="1:11" ht="31.5">
      <c r="A129" s="249">
        <v>6</v>
      </c>
      <c r="B129" s="11" t="s">
        <v>166</v>
      </c>
      <c r="C129" s="4"/>
      <c r="D129" s="5"/>
      <c r="E129" s="7"/>
      <c r="F129" s="5"/>
      <c r="G129" s="19">
        <f>SUM(G130:G134)</f>
        <v>580500</v>
      </c>
      <c r="H129" s="3">
        <f>SUM(H130:H134)</f>
        <v>577597.5</v>
      </c>
      <c r="I129" s="233"/>
      <c r="J129" s="3">
        <f t="shared" si="6"/>
        <v>57759.75</v>
      </c>
      <c r="K129" s="278">
        <f t="shared" si="3"/>
        <v>635357.25</v>
      </c>
    </row>
    <row r="130" spans="1:11" ht="63">
      <c r="A130" s="5" t="s">
        <v>2</v>
      </c>
      <c r="B130" s="12" t="s">
        <v>167</v>
      </c>
      <c r="C130" s="5" t="s">
        <v>8</v>
      </c>
      <c r="D130" s="5">
        <v>59</v>
      </c>
      <c r="E130" s="7">
        <v>1500</v>
      </c>
      <c r="F130" s="5">
        <v>0.995</v>
      </c>
      <c r="G130" s="20">
        <f>D130*E130</f>
        <v>88500</v>
      </c>
      <c r="H130" s="7">
        <f aca="true" t="shared" si="7" ref="H130:H191">G130*F130</f>
        <v>88057.5</v>
      </c>
      <c r="I130" s="233"/>
      <c r="J130" s="7">
        <f t="shared" si="6"/>
        <v>8805.75</v>
      </c>
      <c r="K130" s="279">
        <f t="shared" si="3"/>
        <v>96863.25</v>
      </c>
    </row>
    <row r="131" spans="1:11" ht="47.25">
      <c r="A131" s="5" t="s">
        <v>7</v>
      </c>
      <c r="B131" s="12" t="s">
        <v>168</v>
      </c>
      <c r="C131" s="5" t="s">
        <v>1</v>
      </c>
      <c r="D131" s="5">
        <v>64</v>
      </c>
      <c r="E131" s="7">
        <v>2000</v>
      </c>
      <c r="F131" s="5">
        <v>0.995</v>
      </c>
      <c r="G131" s="20">
        <f>D131*E131</f>
        <v>128000</v>
      </c>
      <c r="H131" s="7">
        <f t="shared" si="7"/>
        <v>127360</v>
      </c>
      <c r="I131" s="233"/>
      <c r="J131" s="7">
        <f t="shared" si="6"/>
        <v>12736</v>
      </c>
      <c r="K131" s="279">
        <f t="shared" si="3"/>
        <v>140096</v>
      </c>
    </row>
    <row r="132" spans="1:11" ht="63">
      <c r="A132" s="5" t="s">
        <v>9</v>
      </c>
      <c r="B132" s="12" t="s">
        <v>169</v>
      </c>
      <c r="C132" s="5" t="s">
        <v>1</v>
      </c>
      <c r="D132" s="5">
        <v>59</v>
      </c>
      <c r="E132" s="7">
        <v>2000</v>
      </c>
      <c r="F132" s="5">
        <v>0.995</v>
      </c>
      <c r="G132" s="20">
        <f>D132*E132</f>
        <v>118000</v>
      </c>
      <c r="H132" s="7">
        <f t="shared" si="7"/>
        <v>117410</v>
      </c>
      <c r="I132" s="233"/>
      <c r="J132" s="7">
        <f t="shared" si="6"/>
        <v>11741</v>
      </c>
      <c r="K132" s="279">
        <f t="shared" si="3"/>
        <v>129151</v>
      </c>
    </row>
    <row r="133" spans="1:11" ht="63">
      <c r="A133" s="5" t="s">
        <v>28</v>
      </c>
      <c r="B133" s="12" t="s">
        <v>207</v>
      </c>
      <c r="C133" s="5" t="s">
        <v>1</v>
      </c>
      <c r="D133" s="5">
        <v>59</v>
      </c>
      <c r="E133" s="7">
        <v>2000</v>
      </c>
      <c r="F133" s="5">
        <v>0.995</v>
      </c>
      <c r="G133" s="20">
        <f>D133*E133</f>
        <v>118000</v>
      </c>
      <c r="H133" s="7">
        <f t="shared" si="7"/>
        <v>117410</v>
      </c>
      <c r="I133" s="233"/>
      <c r="J133" s="7">
        <f t="shared" si="6"/>
        <v>11741</v>
      </c>
      <c r="K133" s="279">
        <f t="shared" si="3"/>
        <v>129151</v>
      </c>
    </row>
    <row r="134" spans="1:11" ht="63">
      <c r="A134" s="5" t="s">
        <v>34</v>
      </c>
      <c r="B134" s="12" t="s">
        <v>170</v>
      </c>
      <c r="C134" s="5" t="s">
        <v>1</v>
      </c>
      <c r="D134" s="5">
        <v>64</v>
      </c>
      <c r="E134" s="7">
        <v>2000</v>
      </c>
      <c r="F134" s="5">
        <v>0.995</v>
      </c>
      <c r="G134" s="20">
        <f>D134*E134</f>
        <v>128000</v>
      </c>
      <c r="H134" s="7">
        <f t="shared" si="7"/>
        <v>127360</v>
      </c>
      <c r="I134" s="233"/>
      <c r="J134" s="7">
        <f t="shared" si="6"/>
        <v>12736</v>
      </c>
      <c r="K134" s="279">
        <f t="shared" si="3"/>
        <v>140096</v>
      </c>
    </row>
    <row r="135" spans="1:11" s="13" customFormat="1" ht="47.25">
      <c r="A135" s="249">
        <v>7</v>
      </c>
      <c r="B135" s="11" t="s">
        <v>171</v>
      </c>
      <c r="C135" s="249"/>
      <c r="D135" s="249"/>
      <c r="E135" s="3"/>
      <c r="F135" s="5">
        <v>0.995</v>
      </c>
      <c r="G135" s="25">
        <f>SUM(G136:G142)</f>
        <v>1260000</v>
      </c>
      <c r="H135" s="3">
        <f>SUM(H136:H142)</f>
        <v>1253700</v>
      </c>
      <c r="I135" s="281"/>
      <c r="J135" s="3">
        <f t="shared" si="6"/>
        <v>125370</v>
      </c>
      <c r="K135" s="278">
        <f aca="true" t="shared" si="8" ref="K135:K198">H135+J135</f>
        <v>1379070</v>
      </c>
    </row>
    <row r="136" spans="1:11" ht="330.75">
      <c r="A136" s="5" t="s">
        <v>2</v>
      </c>
      <c r="B136" s="12" t="s">
        <v>478</v>
      </c>
      <c r="C136" s="5" t="s">
        <v>6</v>
      </c>
      <c r="D136" s="5">
        <v>120</v>
      </c>
      <c r="E136" s="7">
        <v>2000</v>
      </c>
      <c r="F136" s="5">
        <v>0.995</v>
      </c>
      <c r="G136" s="20">
        <f aca="true" t="shared" si="9" ref="G136:G142">D136*E136</f>
        <v>240000</v>
      </c>
      <c r="H136" s="7">
        <f t="shared" si="7"/>
        <v>238800</v>
      </c>
      <c r="I136" s="233"/>
      <c r="J136" s="7">
        <f t="shared" si="6"/>
        <v>23880</v>
      </c>
      <c r="K136" s="279">
        <f t="shared" si="8"/>
        <v>262680</v>
      </c>
    </row>
    <row r="137" spans="1:11" ht="110.25">
      <c r="A137" s="5" t="s">
        <v>7</v>
      </c>
      <c r="B137" s="12" t="s">
        <v>245</v>
      </c>
      <c r="C137" s="5" t="s">
        <v>6</v>
      </c>
      <c r="D137" s="5">
        <v>120</v>
      </c>
      <c r="E137" s="7">
        <v>2000</v>
      </c>
      <c r="F137" s="5">
        <v>0.995</v>
      </c>
      <c r="G137" s="20">
        <f t="shared" si="9"/>
        <v>240000</v>
      </c>
      <c r="H137" s="7">
        <f t="shared" si="7"/>
        <v>238800</v>
      </c>
      <c r="I137" s="233"/>
      <c r="J137" s="7">
        <f t="shared" si="6"/>
        <v>23880</v>
      </c>
      <c r="K137" s="279">
        <f t="shared" si="8"/>
        <v>262680</v>
      </c>
    </row>
    <row r="138" spans="1:11" ht="94.5">
      <c r="A138" s="5" t="s">
        <v>9</v>
      </c>
      <c r="B138" s="12" t="s">
        <v>133</v>
      </c>
      <c r="C138" s="5" t="s">
        <v>6</v>
      </c>
      <c r="D138" s="5">
        <v>75</v>
      </c>
      <c r="E138" s="7">
        <v>2000</v>
      </c>
      <c r="F138" s="5">
        <v>0.995</v>
      </c>
      <c r="G138" s="20">
        <f t="shared" si="9"/>
        <v>150000</v>
      </c>
      <c r="H138" s="7">
        <f t="shared" si="7"/>
        <v>149250</v>
      </c>
      <c r="I138" s="233"/>
      <c r="J138" s="7">
        <f t="shared" si="6"/>
        <v>14925</v>
      </c>
      <c r="K138" s="279">
        <f t="shared" si="8"/>
        <v>164175</v>
      </c>
    </row>
    <row r="139" spans="1:11" ht="141.75">
      <c r="A139" s="5" t="s">
        <v>28</v>
      </c>
      <c r="B139" s="12" t="s">
        <v>134</v>
      </c>
      <c r="C139" s="5" t="s">
        <v>6</v>
      </c>
      <c r="D139" s="5">
        <v>90</v>
      </c>
      <c r="E139" s="7">
        <v>2000</v>
      </c>
      <c r="F139" s="5">
        <v>0.995</v>
      </c>
      <c r="G139" s="20">
        <f t="shared" si="9"/>
        <v>180000</v>
      </c>
      <c r="H139" s="7">
        <f t="shared" si="7"/>
        <v>179100</v>
      </c>
      <c r="I139" s="233"/>
      <c r="J139" s="7">
        <f t="shared" si="6"/>
        <v>17910</v>
      </c>
      <c r="K139" s="279">
        <f t="shared" si="8"/>
        <v>197010</v>
      </c>
    </row>
    <row r="140" spans="1:11" ht="94.5">
      <c r="A140" s="5" t="s">
        <v>34</v>
      </c>
      <c r="B140" s="12" t="s">
        <v>135</v>
      </c>
      <c r="C140" s="5" t="s">
        <v>6</v>
      </c>
      <c r="D140" s="5">
        <v>75</v>
      </c>
      <c r="E140" s="7">
        <v>2000</v>
      </c>
      <c r="F140" s="5">
        <v>0.995</v>
      </c>
      <c r="G140" s="20">
        <f t="shared" si="9"/>
        <v>150000</v>
      </c>
      <c r="H140" s="7">
        <f t="shared" si="7"/>
        <v>149250</v>
      </c>
      <c r="I140" s="233"/>
      <c r="J140" s="7">
        <f t="shared" si="6"/>
        <v>14925</v>
      </c>
      <c r="K140" s="279">
        <f t="shared" si="8"/>
        <v>164175</v>
      </c>
    </row>
    <row r="141" spans="1:11" ht="94.5">
      <c r="A141" s="5" t="s">
        <v>73</v>
      </c>
      <c r="B141" s="12" t="s">
        <v>136</v>
      </c>
      <c r="C141" s="5" t="s">
        <v>6</v>
      </c>
      <c r="D141" s="5">
        <v>75</v>
      </c>
      <c r="E141" s="7">
        <v>2000</v>
      </c>
      <c r="F141" s="5">
        <v>0.995</v>
      </c>
      <c r="G141" s="20">
        <f t="shared" si="9"/>
        <v>150000</v>
      </c>
      <c r="H141" s="7">
        <f t="shared" si="7"/>
        <v>149250</v>
      </c>
      <c r="I141" s="233"/>
      <c r="J141" s="7">
        <f t="shared" si="6"/>
        <v>14925</v>
      </c>
      <c r="K141" s="279">
        <f t="shared" si="8"/>
        <v>164175</v>
      </c>
    </row>
    <row r="142" spans="1:11" ht="126">
      <c r="A142" s="5" t="s">
        <v>74</v>
      </c>
      <c r="B142" s="12" t="s">
        <v>137</v>
      </c>
      <c r="C142" s="5" t="s">
        <v>6</v>
      </c>
      <c r="D142" s="5">
        <v>75</v>
      </c>
      <c r="E142" s="7">
        <v>2000</v>
      </c>
      <c r="F142" s="5">
        <v>0.995</v>
      </c>
      <c r="G142" s="20">
        <f t="shared" si="9"/>
        <v>150000</v>
      </c>
      <c r="H142" s="7">
        <f t="shared" si="7"/>
        <v>149250</v>
      </c>
      <c r="I142" s="233"/>
      <c r="J142" s="7">
        <f t="shared" si="6"/>
        <v>14925</v>
      </c>
      <c r="K142" s="279">
        <f t="shared" si="8"/>
        <v>164175</v>
      </c>
    </row>
    <row r="143" spans="1:11" s="13" customFormat="1" ht="47.25">
      <c r="A143" s="249">
        <v>8</v>
      </c>
      <c r="B143" s="11" t="s">
        <v>172</v>
      </c>
      <c r="C143" s="249"/>
      <c r="D143" s="249"/>
      <c r="E143" s="3"/>
      <c r="F143" s="249"/>
      <c r="G143" s="25">
        <f>SUM(G144:G151)</f>
        <v>1269000</v>
      </c>
      <c r="H143" s="3">
        <f>SUM(H144:H151)</f>
        <v>1262655</v>
      </c>
      <c r="I143" s="281"/>
      <c r="J143" s="3">
        <f t="shared" si="6"/>
        <v>126265.5</v>
      </c>
      <c r="K143" s="278">
        <f t="shared" si="8"/>
        <v>1388920.5</v>
      </c>
    </row>
    <row r="144" spans="1:11" ht="31.5">
      <c r="A144" s="5" t="s">
        <v>2</v>
      </c>
      <c r="B144" s="12" t="s">
        <v>76</v>
      </c>
      <c r="C144" s="5" t="s">
        <v>1</v>
      </c>
      <c r="D144" s="5">
        <v>68</v>
      </c>
      <c r="E144" s="7">
        <v>2000</v>
      </c>
      <c r="F144" s="5">
        <v>0.995</v>
      </c>
      <c r="G144" s="20">
        <f>D144*E144</f>
        <v>136000</v>
      </c>
      <c r="H144" s="7">
        <f t="shared" si="7"/>
        <v>135320</v>
      </c>
      <c r="I144" s="233"/>
      <c r="J144" s="7">
        <f t="shared" si="6"/>
        <v>13532</v>
      </c>
      <c r="K144" s="279">
        <f t="shared" si="8"/>
        <v>148852</v>
      </c>
    </row>
    <row r="145" spans="1:11" ht="290.25" customHeight="1">
      <c r="A145" s="5" t="s">
        <v>7</v>
      </c>
      <c r="B145" s="12" t="s">
        <v>173</v>
      </c>
      <c r="C145" s="5" t="s">
        <v>1</v>
      </c>
      <c r="D145" s="5">
        <v>68</v>
      </c>
      <c r="E145" s="7">
        <v>2000</v>
      </c>
      <c r="F145" s="5">
        <v>0.995</v>
      </c>
      <c r="G145" s="20">
        <f aca="true" t="shared" si="10" ref="G145:G151">D145*E145</f>
        <v>136000</v>
      </c>
      <c r="H145" s="7">
        <f t="shared" si="7"/>
        <v>135320</v>
      </c>
      <c r="I145" s="233"/>
      <c r="J145" s="7">
        <f t="shared" si="6"/>
        <v>13532</v>
      </c>
      <c r="K145" s="279">
        <f t="shared" si="8"/>
        <v>148852</v>
      </c>
    </row>
    <row r="146" spans="1:11" ht="94.5">
      <c r="A146" s="5" t="s">
        <v>9</v>
      </c>
      <c r="B146" s="12" t="s">
        <v>174</v>
      </c>
      <c r="C146" s="5" t="s">
        <v>8</v>
      </c>
      <c r="D146" s="5">
        <v>77</v>
      </c>
      <c r="E146" s="7">
        <v>1500</v>
      </c>
      <c r="F146" s="5">
        <v>0.995</v>
      </c>
      <c r="G146" s="20">
        <f t="shared" si="10"/>
        <v>115500</v>
      </c>
      <c r="H146" s="7">
        <f t="shared" si="7"/>
        <v>114922.5</v>
      </c>
      <c r="I146" s="233"/>
      <c r="J146" s="7">
        <f t="shared" si="6"/>
        <v>11492.25</v>
      </c>
      <c r="K146" s="279">
        <f t="shared" si="8"/>
        <v>126414.75</v>
      </c>
    </row>
    <row r="147" spans="1:11" ht="47.25">
      <c r="A147" s="5" t="s">
        <v>28</v>
      </c>
      <c r="B147" s="12" t="s">
        <v>175</v>
      </c>
      <c r="C147" s="5" t="s">
        <v>8</v>
      </c>
      <c r="D147" s="5">
        <v>90</v>
      </c>
      <c r="E147" s="7">
        <v>1500</v>
      </c>
      <c r="F147" s="5">
        <v>0.995</v>
      </c>
      <c r="G147" s="20">
        <f t="shared" si="10"/>
        <v>135000</v>
      </c>
      <c r="H147" s="7">
        <f t="shared" si="7"/>
        <v>134325</v>
      </c>
      <c r="I147" s="233"/>
      <c r="J147" s="7">
        <f t="shared" si="6"/>
        <v>13432.5</v>
      </c>
      <c r="K147" s="279">
        <f t="shared" si="8"/>
        <v>147757.5</v>
      </c>
    </row>
    <row r="148" spans="1:11" ht="94.5">
      <c r="A148" s="5" t="s">
        <v>34</v>
      </c>
      <c r="B148" s="12" t="s">
        <v>77</v>
      </c>
      <c r="C148" s="5" t="s">
        <v>8</v>
      </c>
      <c r="D148" s="5">
        <v>77</v>
      </c>
      <c r="E148" s="7">
        <v>1500</v>
      </c>
      <c r="F148" s="5">
        <v>0.995</v>
      </c>
      <c r="G148" s="20">
        <f t="shared" si="10"/>
        <v>115500</v>
      </c>
      <c r="H148" s="7">
        <f t="shared" si="7"/>
        <v>114922.5</v>
      </c>
      <c r="I148" s="233"/>
      <c r="J148" s="7">
        <f t="shared" si="6"/>
        <v>11492.25</v>
      </c>
      <c r="K148" s="279">
        <f t="shared" si="8"/>
        <v>126414.75</v>
      </c>
    </row>
    <row r="149" spans="1:11" ht="78.75">
      <c r="A149" s="5" t="s">
        <v>73</v>
      </c>
      <c r="B149" s="12" t="s">
        <v>78</v>
      </c>
      <c r="C149" s="5" t="s">
        <v>8</v>
      </c>
      <c r="D149" s="5">
        <v>77</v>
      </c>
      <c r="E149" s="7">
        <v>1500</v>
      </c>
      <c r="F149" s="5">
        <v>0.995</v>
      </c>
      <c r="G149" s="20">
        <f t="shared" si="10"/>
        <v>115500</v>
      </c>
      <c r="H149" s="7">
        <f t="shared" si="7"/>
        <v>114922.5</v>
      </c>
      <c r="I149" s="233"/>
      <c r="J149" s="7">
        <f t="shared" si="6"/>
        <v>11492.25</v>
      </c>
      <c r="K149" s="279">
        <f t="shared" si="8"/>
        <v>126414.75</v>
      </c>
    </row>
    <row r="150" spans="1:11" ht="47.25">
      <c r="A150" s="5" t="s">
        <v>74</v>
      </c>
      <c r="B150" s="12" t="s">
        <v>79</v>
      </c>
      <c r="C150" s="5" t="s">
        <v>8</v>
      </c>
      <c r="D150" s="5">
        <v>77</v>
      </c>
      <c r="E150" s="7">
        <v>1500</v>
      </c>
      <c r="F150" s="5">
        <v>0.995</v>
      </c>
      <c r="G150" s="20">
        <f t="shared" si="10"/>
        <v>115500</v>
      </c>
      <c r="H150" s="7">
        <f t="shared" si="7"/>
        <v>114922.5</v>
      </c>
      <c r="I150" s="233"/>
      <c r="J150" s="7">
        <f t="shared" si="6"/>
        <v>11492.25</v>
      </c>
      <c r="K150" s="279">
        <f t="shared" si="8"/>
        <v>126414.75</v>
      </c>
    </row>
    <row r="151" spans="1:11" ht="31.5">
      <c r="A151" s="5" t="s">
        <v>75</v>
      </c>
      <c r="B151" s="12" t="s">
        <v>80</v>
      </c>
      <c r="C151" s="5" t="s">
        <v>1</v>
      </c>
      <c r="D151" s="5">
        <v>200</v>
      </c>
      <c r="E151" s="7">
        <v>2000</v>
      </c>
      <c r="F151" s="5">
        <v>0.995</v>
      </c>
      <c r="G151" s="20">
        <f t="shared" si="10"/>
        <v>400000</v>
      </c>
      <c r="H151" s="7">
        <f t="shared" si="7"/>
        <v>398000</v>
      </c>
      <c r="I151" s="233"/>
      <c r="J151" s="7">
        <f t="shared" si="6"/>
        <v>39800</v>
      </c>
      <c r="K151" s="279">
        <f t="shared" si="8"/>
        <v>437800</v>
      </c>
    </row>
    <row r="152" spans="1:11" s="13" customFormat="1" ht="31.5">
      <c r="A152" s="249">
        <v>9</v>
      </c>
      <c r="B152" s="11" t="s">
        <v>176</v>
      </c>
      <c r="C152" s="14"/>
      <c r="D152" s="249"/>
      <c r="E152" s="3"/>
      <c r="F152" s="5"/>
      <c r="G152" s="25">
        <f>SUM(G153:G155)</f>
        <v>364500</v>
      </c>
      <c r="H152" s="3">
        <f>SUM(H153:H155)</f>
        <v>362677.5</v>
      </c>
      <c r="I152" s="281"/>
      <c r="J152" s="3">
        <f t="shared" si="6"/>
        <v>36267.75</v>
      </c>
      <c r="K152" s="278">
        <f t="shared" si="8"/>
        <v>398945.25</v>
      </c>
    </row>
    <row r="153" spans="1:11" ht="31.5">
      <c r="A153" s="5" t="s">
        <v>2</v>
      </c>
      <c r="B153" s="12" t="s">
        <v>81</v>
      </c>
      <c r="C153" s="5" t="s">
        <v>8</v>
      </c>
      <c r="D153" s="5">
        <v>73</v>
      </c>
      <c r="E153" s="7">
        <v>1500</v>
      </c>
      <c r="F153" s="5">
        <v>0.995</v>
      </c>
      <c r="G153" s="20">
        <f>D153*E153</f>
        <v>109500</v>
      </c>
      <c r="H153" s="7">
        <f t="shared" si="7"/>
        <v>108952.5</v>
      </c>
      <c r="I153" s="233"/>
      <c r="J153" s="7">
        <f t="shared" si="6"/>
        <v>10895.25</v>
      </c>
      <c r="K153" s="279">
        <f t="shared" si="8"/>
        <v>119847.75</v>
      </c>
    </row>
    <row r="154" spans="1:11" ht="47.25">
      <c r="A154" s="5" t="s">
        <v>7</v>
      </c>
      <c r="B154" s="12" t="s">
        <v>82</v>
      </c>
      <c r="C154" s="5" t="s">
        <v>8</v>
      </c>
      <c r="D154" s="5">
        <v>70</v>
      </c>
      <c r="E154" s="7">
        <v>1500</v>
      </c>
      <c r="F154" s="5">
        <v>0.995</v>
      </c>
      <c r="G154" s="20">
        <f>D154*E154</f>
        <v>105000</v>
      </c>
      <c r="H154" s="7">
        <f t="shared" si="7"/>
        <v>104475</v>
      </c>
      <c r="I154" s="233"/>
      <c r="J154" s="7">
        <f t="shared" si="6"/>
        <v>10447.5</v>
      </c>
      <c r="K154" s="279">
        <f t="shared" si="8"/>
        <v>114922.5</v>
      </c>
    </row>
    <row r="155" spans="1:11" ht="31.5">
      <c r="A155" s="5" t="s">
        <v>9</v>
      </c>
      <c r="B155" s="12" t="s">
        <v>83</v>
      </c>
      <c r="C155" s="5" t="s">
        <v>1</v>
      </c>
      <c r="D155" s="5">
        <v>75</v>
      </c>
      <c r="E155" s="7">
        <v>2000</v>
      </c>
      <c r="F155" s="5">
        <v>0.995</v>
      </c>
      <c r="G155" s="20">
        <f>D155*E155</f>
        <v>150000</v>
      </c>
      <c r="H155" s="7">
        <f t="shared" si="7"/>
        <v>149250</v>
      </c>
      <c r="I155" s="233"/>
      <c r="J155" s="7">
        <f t="shared" si="6"/>
        <v>14925</v>
      </c>
      <c r="K155" s="279">
        <f t="shared" si="8"/>
        <v>164175</v>
      </c>
    </row>
    <row r="156" spans="1:11" s="13" customFormat="1" ht="47.25">
      <c r="A156" s="249">
        <v>10</v>
      </c>
      <c r="B156" s="11" t="s">
        <v>177</v>
      </c>
      <c r="C156" s="14"/>
      <c r="D156" s="249"/>
      <c r="E156" s="3"/>
      <c r="F156" s="5"/>
      <c r="G156" s="25">
        <f>SUM(G157:G163)</f>
        <v>1014500</v>
      </c>
      <c r="H156" s="3">
        <f>SUM(H157:H163)</f>
        <v>1009427.5</v>
      </c>
      <c r="I156" s="281"/>
      <c r="J156" s="3">
        <f t="shared" si="6"/>
        <v>100942.75</v>
      </c>
      <c r="K156" s="278">
        <f t="shared" si="8"/>
        <v>1110370.25</v>
      </c>
    </row>
    <row r="157" spans="1:11" ht="47.25">
      <c r="A157" s="5" t="s">
        <v>2</v>
      </c>
      <c r="B157" s="12" t="s">
        <v>84</v>
      </c>
      <c r="C157" s="5" t="s">
        <v>8</v>
      </c>
      <c r="D157" s="5">
        <v>82</v>
      </c>
      <c r="E157" s="7">
        <v>1500</v>
      </c>
      <c r="F157" s="5">
        <v>0.995</v>
      </c>
      <c r="G157" s="20">
        <f>D157*E157</f>
        <v>123000</v>
      </c>
      <c r="H157" s="7">
        <f t="shared" si="7"/>
        <v>122385</v>
      </c>
      <c r="I157" s="233"/>
      <c r="J157" s="7">
        <f t="shared" si="6"/>
        <v>12238.5</v>
      </c>
      <c r="K157" s="279">
        <f t="shared" si="8"/>
        <v>134623.5</v>
      </c>
    </row>
    <row r="158" spans="1:11" ht="63">
      <c r="A158" s="5" t="s">
        <v>7</v>
      </c>
      <c r="B158" s="12" t="s">
        <v>85</v>
      </c>
      <c r="C158" s="5" t="s">
        <v>8</v>
      </c>
      <c r="D158" s="5">
        <v>163</v>
      </c>
      <c r="E158" s="7">
        <v>1500</v>
      </c>
      <c r="F158" s="5">
        <v>0.995</v>
      </c>
      <c r="G158" s="20">
        <f aca="true" t="shared" si="11" ref="G158:G163">D158*E158</f>
        <v>244500</v>
      </c>
      <c r="H158" s="7">
        <f t="shared" si="7"/>
        <v>243277.5</v>
      </c>
      <c r="I158" s="233"/>
      <c r="J158" s="7">
        <f t="shared" si="6"/>
        <v>24327.75</v>
      </c>
      <c r="K158" s="279">
        <f t="shared" si="8"/>
        <v>267605.25</v>
      </c>
    </row>
    <row r="159" spans="1:11" ht="141.75">
      <c r="A159" s="5" t="s">
        <v>9</v>
      </c>
      <c r="B159" s="12" t="s">
        <v>86</v>
      </c>
      <c r="C159" s="5" t="s">
        <v>1</v>
      </c>
      <c r="D159" s="5">
        <v>68</v>
      </c>
      <c r="E159" s="7">
        <v>2000</v>
      </c>
      <c r="F159" s="5">
        <v>0.995</v>
      </c>
      <c r="G159" s="20">
        <f t="shared" si="11"/>
        <v>136000</v>
      </c>
      <c r="H159" s="7">
        <f t="shared" si="7"/>
        <v>135320</v>
      </c>
      <c r="I159" s="233"/>
      <c r="J159" s="7">
        <f t="shared" si="6"/>
        <v>13532</v>
      </c>
      <c r="K159" s="279">
        <f t="shared" si="8"/>
        <v>148852</v>
      </c>
    </row>
    <row r="160" spans="1:11" ht="94.5">
      <c r="A160" s="5" t="s">
        <v>28</v>
      </c>
      <c r="B160" s="12" t="s">
        <v>178</v>
      </c>
      <c r="C160" s="5" t="s">
        <v>1</v>
      </c>
      <c r="D160" s="5">
        <v>68</v>
      </c>
      <c r="E160" s="7">
        <v>2000</v>
      </c>
      <c r="F160" s="5">
        <v>0.995</v>
      </c>
      <c r="G160" s="20">
        <f t="shared" si="11"/>
        <v>136000</v>
      </c>
      <c r="H160" s="7">
        <f t="shared" si="7"/>
        <v>135320</v>
      </c>
      <c r="I160" s="233"/>
      <c r="J160" s="7">
        <f t="shared" si="6"/>
        <v>13532</v>
      </c>
      <c r="K160" s="279">
        <f t="shared" si="8"/>
        <v>148852</v>
      </c>
    </row>
    <row r="161" spans="1:11" ht="78.75">
      <c r="A161" s="5" t="s">
        <v>34</v>
      </c>
      <c r="B161" s="12" t="s">
        <v>179</v>
      </c>
      <c r="C161" s="5" t="s">
        <v>8</v>
      </c>
      <c r="D161" s="5">
        <v>90</v>
      </c>
      <c r="E161" s="7">
        <v>1500</v>
      </c>
      <c r="F161" s="5">
        <v>0.995</v>
      </c>
      <c r="G161" s="20">
        <f t="shared" si="11"/>
        <v>135000</v>
      </c>
      <c r="H161" s="7">
        <f t="shared" si="7"/>
        <v>134325</v>
      </c>
      <c r="I161" s="233"/>
      <c r="J161" s="7">
        <f t="shared" si="6"/>
        <v>13432.5</v>
      </c>
      <c r="K161" s="279">
        <f t="shared" si="8"/>
        <v>147757.5</v>
      </c>
    </row>
    <row r="162" spans="1:11" ht="47.25">
      <c r="A162" s="5" t="s">
        <v>73</v>
      </c>
      <c r="B162" s="12" t="s">
        <v>87</v>
      </c>
      <c r="C162" s="5" t="s">
        <v>8</v>
      </c>
      <c r="D162" s="5">
        <v>90</v>
      </c>
      <c r="E162" s="7">
        <v>1500</v>
      </c>
      <c r="F162" s="5">
        <v>0.995</v>
      </c>
      <c r="G162" s="20">
        <f t="shared" si="11"/>
        <v>135000</v>
      </c>
      <c r="H162" s="7">
        <f t="shared" si="7"/>
        <v>134325</v>
      </c>
      <c r="I162" s="233"/>
      <c r="J162" s="7">
        <f t="shared" si="6"/>
        <v>13432.5</v>
      </c>
      <c r="K162" s="279">
        <f t="shared" si="8"/>
        <v>147757.5</v>
      </c>
    </row>
    <row r="163" spans="1:11" ht="31.5">
      <c r="A163" s="5" t="s">
        <v>74</v>
      </c>
      <c r="B163" s="12" t="s">
        <v>88</v>
      </c>
      <c r="C163" s="5" t="s">
        <v>8</v>
      </c>
      <c r="D163" s="5">
        <v>70</v>
      </c>
      <c r="E163" s="7">
        <v>1500</v>
      </c>
      <c r="F163" s="5">
        <v>0.995</v>
      </c>
      <c r="G163" s="20">
        <f t="shared" si="11"/>
        <v>105000</v>
      </c>
      <c r="H163" s="7">
        <f t="shared" si="7"/>
        <v>104475</v>
      </c>
      <c r="I163" s="233"/>
      <c r="J163" s="7">
        <f t="shared" si="6"/>
        <v>10447.5</v>
      </c>
      <c r="K163" s="279">
        <f t="shared" si="8"/>
        <v>114922.5</v>
      </c>
    </row>
    <row r="164" spans="1:11" s="13" customFormat="1" ht="31.5">
      <c r="A164" s="249">
        <v>11</v>
      </c>
      <c r="B164" s="11" t="s">
        <v>89</v>
      </c>
      <c r="C164" s="249"/>
      <c r="D164" s="249"/>
      <c r="E164" s="3"/>
      <c r="F164" s="5"/>
      <c r="G164" s="25">
        <f>G165+G166</f>
        <v>240000</v>
      </c>
      <c r="H164" s="3">
        <f>H165+H166</f>
        <v>238800</v>
      </c>
      <c r="I164" s="281"/>
      <c r="J164" s="3">
        <f t="shared" si="6"/>
        <v>23880</v>
      </c>
      <c r="K164" s="278">
        <f t="shared" si="8"/>
        <v>262680</v>
      </c>
    </row>
    <row r="165" spans="1:11" ht="31.5">
      <c r="A165" s="5" t="s">
        <v>2</v>
      </c>
      <c r="B165" s="12" t="s">
        <v>90</v>
      </c>
      <c r="C165" s="5" t="s">
        <v>8</v>
      </c>
      <c r="D165" s="5">
        <v>70</v>
      </c>
      <c r="E165" s="7">
        <v>1500</v>
      </c>
      <c r="F165" s="5">
        <v>0.995</v>
      </c>
      <c r="G165" s="20">
        <f>D165*E165</f>
        <v>105000</v>
      </c>
      <c r="H165" s="7">
        <f t="shared" si="7"/>
        <v>104475</v>
      </c>
      <c r="I165" s="233"/>
      <c r="J165" s="7">
        <f t="shared" si="6"/>
        <v>10447.5</v>
      </c>
      <c r="K165" s="279">
        <f t="shared" si="8"/>
        <v>114922.5</v>
      </c>
    </row>
    <row r="166" spans="1:11" ht="110.25">
      <c r="A166" s="5" t="s">
        <v>7</v>
      </c>
      <c r="B166" s="12" t="s">
        <v>91</v>
      </c>
      <c r="C166" s="5" t="s">
        <v>8</v>
      </c>
      <c r="D166" s="5">
        <v>90</v>
      </c>
      <c r="E166" s="7">
        <v>1500</v>
      </c>
      <c r="F166" s="5">
        <v>0.995</v>
      </c>
      <c r="G166" s="20">
        <f>D166*E166</f>
        <v>135000</v>
      </c>
      <c r="H166" s="7">
        <f t="shared" si="7"/>
        <v>134325</v>
      </c>
      <c r="I166" s="233"/>
      <c r="J166" s="7">
        <f t="shared" si="6"/>
        <v>13432.5</v>
      </c>
      <c r="K166" s="279">
        <f t="shared" si="8"/>
        <v>147757.5</v>
      </c>
    </row>
    <row r="167" spans="1:11" s="13" customFormat="1" ht="47.25">
      <c r="A167" s="249">
        <v>12</v>
      </c>
      <c r="B167" s="11" t="s">
        <v>92</v>
      </c>
      <c r="C167" s="249"/>
      <c r="D167" s="249"/>
      <c r="E167" s="3"/>
      <c r="F167" s="5"/>
      <c r="G167" s="25">
        <f>SUM(G168:G170)</f>
        <v>285000</v>
      </c>
      <c r="H167" s="3">
        <f>SUM(H168:H170)</f>
        <v>283575</v>
      </c>
      <c r="I167" s="281"/>
      <c r="J167" s="3">
        <f t="shared" si="6"/>
        <v>28357.5</v>
      </c>
      <c r="K167" s="278">
        <f t="shared" si="8"/>
        <v>311932.5</v>
      </c>
    </row>
    <row r="168" spans="1:11" ht="126">
      <c r="A168" s="5" t="s">
        <v>2</v>
      </c>
      <c r="B168" s="12" t="s">
        <v>93</v>
      </c>
      <c r="C168" s="5" t="s">
        <v>8</v>
      </c>
      <c r="D168" s="5">
        <v>95</v>
      </c>
      <c r="E168" s="7">
        <v>1500</v>
      </c>
      <c r="F168" s="5">
        <v>0.995</v>
      </c>
      <c r="G168" s="20">
        <f>D168*E168</f>
        <v>142500</v>
      </c>
      <c r="H168" s="7">
        <f t="shared" si="7"/>
        <v>141787.5</v>
      </c>
      <c r="I168" s="233"/>
      <c r="J168" s="7">
        <f t="shared" si="6"/>
        <v>14178.75</v>
      </c>
      <c r="K168" s="279">
        <f t="shared" si="8"/>
        <v>155966.25</v>
      </c>
    </row>
    <row r="169" spans="1:11" ht="94.5">
      <c r="A169" s="5" t="s">
        <v>7</v>
      </c>
      <c r="B169" s="12" t="s">
        <v>94</v>
      </c>
      <c r="C169" s="5" t="s">
        <v>8</v>
      </c>
      <c r="D169" s="5">
        <v>50</v>
      </c>
      <c r="E169" s="7">
        <v>1500</v>
      </c>
      <c r="F169" s="5">
        <v>0.995</v>
      </c>
      <c r="G169" s="20">
        <f>D169*E169</f>
        <v>75000</v>
      </c>
      <c r="H169" s="7">
        <f t="shared" si="7"/>
        <v>74625</v>
      </c>
      <c r="I169" s="233"/>
      <c r="J169" s="7">
        <f t="shared" si="6"/>
        <v>7462.5</v>
      </c>
      <c r="K169" s="279">
        <f t="shared" si="8"/>
        <v>82087.5</v>
      </c>
    </row>
    <row r="170" spans="1:11" ht="94.5">
      <c r="A170" s="5" t="s">
        <v>9</v>
      </c>
      <c r="B170" s="12" t="s">
        <v>95</v>
      </c>
      <c r="C170" s="5" t="s">
        <v>8</v>
      </c>
      <c r="D170" s="5">
        <v>45</v>
      </c>
      <c r="E170" s="7">
        <v>1500</v>
      </c>
      <c r="F170" s="5">
        <v>0.995</v>
      </c>
      <c r="G170" s="20">
        <f>D170*E170</f>
        <v>67500</v>
      </c>
      <c r="H170" s="7">
        <f t="shared" si="7"/>
        <v>67162.5</v>
      </c>
      <c r="I170" s="233"/>
      <c r="J170" s="7">
        <f t="shared" si="6"/>
        <v>6716.25</v>
      </c>
      <c r="K170" s="279">
        <f t="shared" si="8"/>
        <v>73878.75</v>
      </c>
    </row>
    <row r="171" spans="1:11" s="13" customFormat="1" ht="31.5">
      <c r="A171" s="249">
        <v>13</v>
      </c>
      <c r="B171" s="11" t="s">
        <v>96</v>
      </c>
      <c r="C171" s="249"/>
      <c r="D171" s="249"/>
      <c r="E171" s="3"/>
      <c r="F171" s="5"/>
      <c r="G171" s="25">
        <f>SUM(G172:G175)</f>
        <v>355500</v>
      </c>
      <c r="H171" s="3">
        <f>SUM(H172:H175)</f>
        <v>353722.5</v>
      </c>
      <c r="I171" s="281"/>
      <c r="J171" s="3">
        <f t="shared" si="6"/>
        <v>35372.25</v>
      </c>
      <c r="K171" s="278">
        <f t="shared" si="8"/>
        <v>389094.75</v>
      </c>
    </row>
    <row r="172" spans="1:11" ht="31.5">
      <c r="A172" s="5" t="s">
        <v>2</v>
      </c>
      <c r="B172" s="12" t="s">
        <v>97</v>
      </c>
      <c r="C172" s="5" t="s">
        <v>8</v>
      </c>
      <c r="D172" s="5">
        <v>45</v>
      </c>
      <c r="E172" s="7">
        <v>1500</v>
      </c>
      <c r="F172" s="5">
        <v>0.995</v>
      </c>
      <c r="G172" s="20">
        <f>D172*E172</f>
        <v>67500</v>
      </c>
      <c r="H172" s="7">
        <f t="shared" si="7"/>
        <v>67162.5</v>
      </c>
      <c r="I172" s="233"/>
      <c r="J172" s="7">
        <f t="shared" si="6"/>
        <v>6716.25</v>
      </c>
      <c r="K172" s="279">
        <f t="shared" si="8"/>
        <v>73878.75</v>
      </c>
    </row>
    <row r="173" spans="1:11" ht="31.5">
      <c r="A173" s="5" t="s">
        <v>7</v>
      </c>
      <c r="B173" s="12" t="s">
        <v>98</v>
      </c>
      <c r="C173" s="5" t="s">
        <v>1</v>
      </c>
      <c r="D173" s="5">
        <v>84</v>
      </c>
      <c r="E173" s="7">
        <v>2000</v>
      </c>
      <c r="F173" s="5">
        <v>0.995</v>
      </c>
      <c r="G173" s="20">
        <f>D173*E173</f>
        <v>168000</v>
      </c>
      <c r="H173" s="7">
        <f t="shared" si="7"/>
        <v>167160</v>
      </c>
      <c r="I173" s="233"/>
      <c r="J173" s="7">
        <f t="shared" si="6"/>
        <v>16716</v>
      </c>
      <c r="K173" s="279">
        <f t="shared" si="8"/>
        <v>183876</v>
      </c>
    </row>
    <row r="174" spans="1:11" ht="31.5">
      <c r="A174" s="5" t="s">
        <v>9</v>
      </c>
      <c r="B174" s="12" t="s">
        <v>99</v>
      </c>
      <c r="C174" s="5" t="s">
        <v>8</v>
      </c>
      <c r="D174" s="5">
        <v>35</v>
      </c>
      <c r="E174" s="7">
        <v>1500</v>
      </c>
      <c r="F174" s="5">
        <v>0.995</v>
      </c>
      <c r="G174" s="20">
        <f>D174*E174</f>
        <v>52500</v>
      </c>
      <c r="H174" s="7">
        <f t="shared" si="7"/>
        <v>52237.5</v>
      </c>
      <c r="I174" s="233"/>
      <c r="J174" s="7">
        <f t="shared" si="6"/>
        <v>5223.75</v>
      </c>
      <c r="K174" s="279">
        <f t="shared" si="8"/>
        <v>57461.25</v>
      </c>
    </row>
    <row r="175" spans="1:11" ht="63">
      <c r="A175" s="5" t="s">
        <v>28</v>
      </c>
      <c r="B175" s="12" t="s">
        <v>100</v>
      </c>
      <c r="C175" s="5" t="s">
        <v>8</v>
      </c>
      <c r="D175" s="5">
        <v>45</v>
      </c>
      <c r="E175" s="7">
        <v>1500</v>
      </c>
      <c r="F175" s="5">
        <v>0.995</v>
      </c>
      <c r="G175" s="20">
        <f>D175*E175</f>
        <v>67500</v>
      </c>
      <c r="H175" s="7">
        <f t="shared" si="7"/>
        <v>67162.5</v>
      </c>
      <c r="I175" s="233"/>
      <c r="J175" s="7">
        <f t="shared" si="6"/>
        <v>6716.25</v>
      </c>
      <c r="K175" s="279">
        <f t="shared" si="8"/>
        <v>73878.75</v>
      </c>
    </row>
    <row r="176" spans="1:11" s="13" customFormat="1" ht="31.5">
      <c r="A176" s="249">
        <v>14</v>
      </c>
      <c r="B176" s="11" t="s">
        <v>180</v>
      </c>
      <c r="C176" s="14"/>
      <c r="D176" s="249"/>
      <c r="E176" s="3"/>
      <c r="F176" s="249"/>
      <c r="G176" s="25">
        <f>G177+G178</f>
        <v>301000</v>
      </c>
      <c r="H176" s="3">
        <f>H177+H178</f>
        <v>299495</v>
      </c>
      <c r="I176" s="281"/>
      <c r="J176" s="3">
        <f t="shared" si="6"/>
        <v>29949.5</v>
      </c>
      <c r="K176" s="278">
        <f t="shared" si="8"/>
        <v>329444.5</v>
      </c>
    </row>
    <row r="177" spans="1:11" ht="31.5">
      <c r="A177" s="5" t="s">
        <v>2</v>
      </c>
      <c r="B177" s="12" t="s">
        <v>101</v>
      </c>
      <c r="C177" s="5" t="s">
        <v>4</v>
      </c>
      <c r="D177" s="5">
        <v>35</v>
      </c>
      <c r="E177" s="7">
        <v>1500</v>
      </c>
      <c r="F177" s="5">
        <v>0.995</v>
      </c>
      <c r="G177" s="20">
        <f>D177*E177</f>
        <v>52500</v>
      </c>
      <c r="H177" s="7">
        <f t="shared" si="7"/>
        <v>52237.5</v>
      </c>
      <c r="I177" s="233"/>
      <c r="J177" s="7">
        <f t="shared" si="6"/>
        <v>5223.75</v>
      </c>
      <c r="K177" s="279">
        <f t="shared" si="8"/>
        <v>57461.25</v>
      </c>
    </row>
    <row r="178" spans="1:11" ht="47.25">
      <c r="A178" s="5" t="s">
        <v>7</v>
      </c>
      <c r="B178" s="12" t="s">
        <v>102</v>
      </c>
      <c r="C178" s="4"/>
      <c r="D178" s="5"/>
      <c r="E178" s="7"/>
      <c r="F178" s="5"/>
      <c r="G178" s="20">
        <f>SUM(G179:G180)</f>
        <v>248500</v>
      </c>
      <c r="H178" s="7">
        <f>H179+H180</f>
        <v>247257.5</v>
      </c>
      <c r="I178" s="233"/>
      <c r="J178" s="7">
        <f t="shared" si="6"/>
        <v>24725.75</v>
      </c>
      <c r="K178" s="279">
        <f t="shared" si="8"/>
        <v>271983.25</v>
      </c>
    </row>
    <row r="179" spans="1:11" ht="15.75">
      <c r="A179" s="5" t="s">
        <v>13</v>
      </c>
      <c r="B179" s="12" t="s">
        <v>104</v>
      </c>
      <c r="C179" s="5" t="s">
        <v>4</v>
      </c>
      <c r="D179" s="5">
        <v>95</v>
      </c>
      <c r="E179" s="7">
        <v>1500</v>
      </c>
      <c r="F179" s="5">
        <v>0.995</v>
      </c>
      <c r="G179" s="20">
        <f>D179*E179</f>
        <v>142500</v>
      </c>
      <c r="H179" s="7">
        <f t="shared" si="7"/>
        <v>141787.5</v>
      </c>
      <c r="I179" s="233"/>
      <c r="J179" s="7">
        <f t="shared" si="6"/>
        <v>14178.75</v>
      </c>
      <c r="K179" s="279">
        <f t="shared" si="8"/>
        <v>155966.25</v>
      </c>
    </row>
    <row r="180" spans="1:11" ht="47.25">
      <c r="A180" s="5" t="s">
        <v>15</v>
      </c>
      <c r="B180" s="12" t="s">
        <v>181</v>
      </c>
      <c r="C180" s="5" t="s">
        <v>1</v>
      </c>
      <c r="D180" s="5">
        <v>53</v>
      </c>
      <c r="E180" s="7">
        <v>2000</v>
      </c>
      <c r="F180" s="5">
        <v>0.995</v>
      </c>
      <c r="G180" s="20">
        <f>D180*E180</f>
        <v>106000</v>
      </c>
      <c r="H180" s="7">
        <f t="shared" si="7"/>
        <v>105470</v>
      </c>
      <c r="I180" s="233"/>
      <c r="J180" s="7">
        <f t="shared" si="6"/>
        <v>10547</v>
      </c>
      <c r="K180" s="279">
        <f t="shared" si="8"/>
        <v>116017</v>
      </c>
    </row>
    <row r="181" spans="1:11" s="13" customFormat="1" ht="31.5">
      <c r="A181" s="249">
        <v>15</v>
      </c>
      <c r="B181" s="11" t="s">
        <v>182</v>
      </c>
      <c r="C181" s="14"/>
      <c r="D181" s="249"/>
      <c r="E181" s="3"/>
      <c r="F181" s="249"/>
      <c r="G181" s="25">
        <f>SUM(G182:G187)</f>
        <v>570000</v>
      </c>
      <c r="H181" s="3">
        <f>SUM(H182:H187)</f>
        <v>567150</v>
      </c>
      <c r="I181" s="281"/>
      <c r="J181" s="3">
        <f t="shared" si="6"/>
        <v>56715</v>
      </c>
      <c r="K181" s="278">
        <f t="shared" si="8"/>
        <v>623865</v>
      </c>
    </row>
    <row r="182" spans="1:11" ht="31.5">
      <c r="A182" s="5" t="s">
        <v>2</v>
      </c>
      <c r="B182" s="12" t="s">
        <v>183</v>
      </c>
      <c r="C182" s="5" t="s">
        <v>8</v>
      </c>
      <c r="D182" s="5">
        <v>60</v>
      </c>
      <c r="E182" s="7">
        <v>1500</v>
      </c>
      <c r="F182" s="5">
        <v>0.995</v>
      </c>
      <c r="G182" s="20">
        <f aca="true" t="shared" si="12" ref="G182:G187">D182*E182</f>
        <v>90000</v>
      </c>
      <c r="H182" s="7">
        <f t="shared" si="7"/>
        <v>89550</v>
      </c>
      <c r="I182" s="233"/>
      <c r="J182" s="7">
        <f t="shared" si="6"/>
        <v>8955</v>
      </c>
      <c r="K182" s="279">
        <f t="shared" si="8"/>
        <v>98505</v>
      </c>
    </row>
    <row r="183" spans="1:11" ht="31.5">
      <c r="A183" s="5" t="s">
        <v>7</v>
      </c>
      <c r="B183" s="12" t="s">
        <v>184</v>
      </c>
      <c r="C183" s="5" t="s">
        <v>8</v>
      </c>
      <c r="D183" s="5">
        <v>60</v>
      </c>
      <c r="E183" s="7">
        <v>1500</v>
      </c>
      <c r="F183" s="5">
        <v>0.995</v>
      </c>
      <c r="G183" s="20">
        <f t="shared" si="12"/>
        <v>90000</v>
      </c>
      <c r="H183" s="7">
        <f t="shared" si="7"/>
        <v>89550</v>
      </c>
      <c r="I183" s="233"/>
      <c r="J183" s="7">
        <f t="shared" si="6"/>
        <v>8955</v>
      </c>
      <c r="K183" s="279">
        <f t="shared" si="8"/>
        <v>98505</v>
      </c>
    </row>
    <row r="184" spans="1:11" ht="31.5">
      <c r="A184" s="5" t="s">
        <v>9</v>
      </c>
      <c r="B184" s="12" t="s">
        <v>185</v>
      </c>
      <c r="C184" s="5" t="s">
        <v>8</v>
      </c>
      <c r="D184" s="5">
        <v>60</v>
      </c>
      <c r="E184" s="7">
        <v>1500</v>
      </c>
      <c r="F184" s="5">
        <v>0.995</v>
      </c>
      <c r="G184" s="20">
        <f t="shared" si="12"/>
        <v>90000</v>
      </c>
      <c r="H184" s="7">
        <f t="shared" si="7"/>
        <v>89550</v>
      </c>
      <c r="I184" s="233"/>
      <c r="J184" s="7">
        <f t="shared" si="6"/>
        <v>8955</v>
      </c>
      <c r="K184" s="279">
        <f t="shared" si="8"/>
        <v>98505</v>
      </c>
    </row>
    <row r="185" spans="1:11" ht="31.5">
      <c r="A185" s="5" t="s">
        <v>28</v>
      </c>
      <c r="B185" s="12" t="s">
        <v>186</v>
      </c>
      <c r="C185" s="5" t="s">
        <v>8</v>
      </c>
      <c r="D185" s="5">
        <v>60</v>
      </c>
      <c r="E185" s="7">
        <v>1500</v>
      </c>
      <c r="F185" s="5">
        <v>0.995</v>
      </c>
      <c r="G185" s="20">
        <f t="shared" si="12"/>
        <v>90000</v>
      </c>
      <c r="H185" s="7">
        <f t="shared" si="7"/>
        <v>89550</v>
      </c>
      <c r="I185" s="233"/>
      <c r="J185" s="7">
        <f t="shared" si="6"/>
        <v>8955</v>
      </c>
      <c r="K185" s="279">
        <f t="shared" si="8"/>
        <v>98505</v>
      </c>
    </row>
    <row r="186" spans="1:11" ht="31.5">
      <c r="A186" s="5" t="s">
        <v>34</v>
      </c>
      <c r="B186" s="12" t="s">
        <v>187</v>
      </c>
      <c r="C186" s="5" t="s">
        <v>8</v>
      </c>
      <c r="D186" s="5">
        <v>60</v>
      </c>
      <c r="E186" s="7">
        <v>1500</v>
      </c>
      <c r="F186" s="5">
        <v>0.995</v>
      </c>
      <c r="G186" s="20">
        <f t="shared" si="12"/>
        <v>90000</v>
      </c>
      <c r="H186" s="7">
        <f t="shared" si="7"/>
        <v>89550</v>
      </c>
      <c r="I186" s="233"/>
      <c r="J186" s="7">
        <f t="shared" si="6"/>
        <v>8955</v>
      </c>
      <c r="K186" s="279">
        <f t="shared" si="8"/>
        <v>98505</v>
      </c>
    </row>
    <row r="187" spans="1:11" ht="31.5">
      <c r="A187" s="5" t="s">
        <v>73</v>
      </c>
      <c r="B187" s="12" t="s">
        <v>188</v>
      </c>
      <c r="C187" s="5" t="s">
        <v>106</v>
      </c>
      <c r="D187" s="5">
        <v>60</v>
      </c>
      <c r="E187" s="7">
        <v>2000</v>
      </c>
      <c r="F187" s="5">
        <v>0.995</v>
      </c>
      <c r="G187" s="20">
        <f t="shared" si="12"/>
        <v>120000</v>
      </c>
      <c r="H187" s="7">
        <f t="shared" si="7"/>
        <v>119400</v>
      </c>
      <c r="I187" s="233"/>
      <c r="J187" s="7">
        <f t="shared" si="6"/>
        <v>11940</v>
      </c>
      <c r="K187" s="279">
        <f t="shared" si="8"/>
        <v>131340</v>
      </c>
    </row>
    <row r="188" spans="1:11" s="13" customFormat="1" ht="28.5" customHeight="1">
      <c r="A188" s="249">
        <v>16</v>
      </c>
      <c r="B188" s="11" t="s">
        <v>189</v>
      </c>
      <c r="C188" s="249"/>
      <c r="D188" s="249"/>
      <c r="E188" s="3"/>
      <c r="F188" s="249"/>
      <c r="G188" s="25">
        <f>G189+G192</f>
        <v>3511000</v>
      </c>
      <c r="H188" s="3">
        <f>H189+H192</f>
        <v>3493445</v>
      </c>
      <c r="I188" s="281"/>
      <c r="J188" s="3">
        <f t="shared" si="6"/>
        <v>349344.5</v>
      </c>
      <c r="K188" s="278">
        <f t="shared" si="8"/>
        <v>3842789.5</v>
      </c>
    </row>
    <row r="189" spans="1:11" ht="47.25">
      <c r="A189" s="5" t="s">
        <v>2</v>
      </c>
      <c r="B189" s="12" t="s">
        <v>107</v>
      </c>
      <c r="C189" s="4"/>
      <c r="D189" s="5"/>
      <c r="E189" s="7"/>
      <c r="F189" s="5"/>
      <c r="G189" s="20">
        <f>G190+G191</f>
        <v>216000</v>
      </c>
      <c r="H189" s="7">
        <f>H190+H191</f>
        <v>214920</v>
      </c>
      <c r="I189" s="233"/>
      <c r="J189" s="7">
        <f t="shared" si="6"/>
        <v>21492</v>
      </c>
      <c r="K189" s="279">
        <f t="shared" si="8"/>
        <v>236412</v>
      </c>
    </row>
    <row r="190" spans="1:11" ht="47.25">
      <c r="A190" s="5" t="s">
        <v>3</v>
      </c>
      <c r="B190" s="12" t="s">
        <v>190</v>
      </c>
      <c r="C190" s="5" t="s">
        <v>8</v>
      </c>
      <c r="D190" s="5">
        <v>72</v>
      </c>
      <c r="E190" s="7">
        <v>1500</v>
      </c>
      <c r="F190" s="5">
        <v>0.995</v>
      </c>
      <c r="G190" s="20">
        <f>D190*E190</f>
        <v>108000</v>
      </c>
      <c r="H190" s="7">
        <f t="shared" si="7"/>
        <v>107460</v>
      </c>
      <c r="I190" s="233"/>
      <c r="J190" s="7">
        <f aca="true" t="shared" si="13" ref="J190:J214">H190*0.1</f>
        <v>10746</v>
      </c>
      <c r="K190" s="279">
        <f t="shared" si="8"/>
        <v>118206</v>
      </c>
    </row>
    <row r="191" spans="1:11" ht="31.5">
      <c r="A191" s="5" t="s">
        <v>5</v>
      </c>
      <c r="B191" s="12" t="s">
        <v>191</v>
      </c>
      <c r="C191" s="5" t="s">
        <v>8</v>
      </c>
      <c r="D191" s="5">
        <v>72</v>
      </c>
      <c r="E191" s="7">
        <v>1500</v>
      </c>
      <c r="F191" s="5">
        <v>0.995</v>
      </c>
      <c r="G191" s="20">
        <f>D191*E191</f>
        <v>108000</v>
      </c>
      <c r="H191" s="7">
        <f t="shared" si="7"/>
        <v>107460</v>
      </c>
      <c r="I191" s="233"/>
      <c r="J191" s="7">
        <f t="shared" si="13"/>
        <v>10746</v>
      </c>
      <c r="K191" s="279">
        <f t="shared" si="8"/>
        <v>118206</v>
      </c>
    </row>
    <row r="192" spans="1:11" ht="27.75" customHeight="1">
      <c r="A192" s="5" t="s">
        <v>7</v>
      </c>
      <c r="B192" s="12" t="s">
        <v>108</v>
      </c>
      <c r="C192" s="4"/>
      <c r="D192" s="5"/>
      <c r="E192" s="7"/>
      <c r="F192" s="5"/>
      <c r="G192" s="20">
        <f>SUM(G193:G204)</f>
        <v>3295000</v>
      </c>
      <c r="H192" s="7">
        <f>SUM(H193:H204)</f>
        <v>3278525</v>
      </c>
      <c r="I192" s="233"/>
      <c r="J192" s="7">
        <f t="shared" si="13"/>
        <v>327852.5</v>
      </c>
      <c r="K192" s="279">
        <f t="shared" si="8"/>
        <v>3606377.5</v>
      </c>
    </row>
    <row r="193" spans="1:11" ht="31.5">
      <c r="A193" s="5" t="s">
        <v>13</v>
      </c>
      <c r="B193" s="12" t="s">
        <v>192</v>
      </c>
      <c r="C193" s="5" t="s">
        <v>8</v>
      </c>
      <c r="D193" s="5">
        <v>145</v>
      </c>
      <c r="E193" s="7">
        <v>1500</v>
      </c>
      <c r="F193" s="5">
        <v>0.995</v>
      </c>
      <c r="G193" s="20">
        <f>D193*E193</f>
        <v>217500</v>
      </c>
      <c r="H193" s="7">
        <f aca="true" t="shared" si="14" ref="H193:H214">G193*F193</f>
        <v>216412.5</v>
      </c>
      <c r="I193" s="233"/>
      <c r="J193" s="7">
        <f t="shared" si="13"/>
        <v>21641.25</v>
      </c>
      <c r="K193" s="279">
        <f t="shared" si="8"/>
        <v>238053.75</v>
      </c>
    </row>
    <row r="194" spans="1:11" ht="31.5">
      <c r="A194" s="5" t="s">
        <v>15</v>
      </c>
      <c r="B194" s="12" t="s">
        <v>193</v>
      </c>
      <c r="C194" s="5" t="s">
        <v>8</v>
      </c>
      <c r="D194" s="5">
        <v>145</v>
      </c>
      <c r="E194" s="7">
        <v>1500</v>
      </c>
      <c r="F194" s="5">
        <v>0.995</v>
      </c>
      <c r="G194" s="20">
        <f aca="true" t="shared" si="15" ref="G194:G204">D194*E194</f>
        <v>217500</v>
      </c>
      <c r="H194" s="7">
        <f t="shared" si="14"/>
        <v>216412.5</v>
      </c>
      <c r="I194" s="233"/>
      <c r="J194" s="7">
        <f t="shared" si="13"/>
        <v>21641.25</v>
      </c>
      <c r="K194" s="279">
        <f t="shared" si="8"/>
        <v>238053.75</v>
      </c>
    </row>
    <row r="195" spans="1:11" ht="31.5">
      <c r="A195" s="5" t="s">
        <v>17</v>
      </c>
      <c r="B195" s="12" t="s">
        <v>109</v>
      </c>
      <c r="C195" s="5" t="s">
        <v>103</v>
      </c>
      <c r="D195" s="5">
        <v>172</v>
      </c>
      <c r="E195" s="7">
        <v>1000</v>
      </c>
      <c r="F195" s="5">
        <v>0.995</v>
      </c>
      <c r="G195" s="20">
        <f t="shared" si="15"/>
        <v>172000</v>
      </c>
      <c r="H195" s="7">
        <f t="shared" si="14"/>
        <v>171140</v>
      </c>
      <c r="I195" s="233"/>
      <c r="J195" s="7">
        <f t="shared" si="13"/>
        <v>17114</v>
      </c>
      <c r="K195" s="279">
        <f t="shared" si="8"/>
        <v>188254</v>
      </c>
    </row>
    <row r="196" spans="1:11" ht="31.5">
      <c r="A196" s="5" t="s">
        <v>228</v>
      </c>
      <c r="B196" s="12" t="s">
        <v>194</v>
      </c>
      <c r="C196" s="5" t="s">
        <v>1</v>
      </c>
      <c r="D196" s="5">
        <v>172</v>
      </c>
      <c r="E196" s="7">
        <v>2000</v>
      </c>
      <c r="F196" s="5">
        <v>0.995</v>
      </c>
      <c r="G196" s="20">
        <f t="shared" si="15"/>
        <v>344000</v>
      </c>
      <c r="H196" s="7">
        <f t="shared" si="14"/>
        <v>342280</v>
      </c>
      <c r="I196" s="233"/>
      <c r="J196" s="7">
        <f t="shared" si="13"/>
        <v>34228</v>
      </c>
      <c r="K196" s="279">
        <f t="shared" si="8"/>
        <v>376508</v>
      </c>
    </row>
    <row r="197" spans="1:11" ht="31.5">
      <c r="A197" s="5" t="s">
        <v>229</v>
      </c>
      <c r="B197" s="12" t="s">
        <v>110</v>
      </c>
      <c r="C197" s="5" t="s">
        <v>1</v>
      </c>
      <c r="D197" s="5">
        <v>172</v>
      </c>
      <c r="E197" s="7">
        <v>2000</v>
      </c>
      <c r="F197" s="5">
        <v>0.995</v>
      </c>
      <c r="G197" s="20">
        <f t="shared" si="15"/>
        <v>344000</v>
      </c>
      <c r="H197" s="7">
        <f t="shared" si="14"/>
        <v>342280</v>
      </c>
      <c r="I197" s="233"/>
      <c r="J197" s="7">
        <f t="shared" si="13"/>
        <v>34228</v>
      </c>
      <c r="K197" s="279">
        <f t="shared" si="8"/>
        <v>376508</v>
      </c>
    </row>
    <row r="198" spans="1:11" ht="31.5">
      <c r="A198" s="5" t="s">
        <v>230</v>
      </c>
      <c r="B198" s="12" t="s">
        <v>195</v>
      </c>
      <c r="C198" s="5" t="s">
        <v>1</v>
      </c>
      <c r="D198" s="5">
        <v>172</v>
      </c>
      <c r="E198" s="7">
        <v>2000</v>
      </c>
      <c r="F198" s="5">
        <v>0.995</v>
      </c>
      <c r="G198" s="20">
        <f t="shared" si="15"/>
        <v>344000</v>
      </c>
      <c r="H198" s="7">
        <f t="shared" si="14"/>
        <v>342280</v>
      </c>
      <c r="I198" s="233"/>
      <c r="J198" s="7">
        <f t="shared" si="13"/>
        <v>34228</v>
      </c>
      <c r="K198" s="279">
        <f t="shared" si="8"/>
        <v>376508</v>
      </c>
    </row>
    <row r="199" spans="1:11" ht="31.5">
      <c r="A199" s="5" t="s">
        <v>231</v>
      </c>
      <c r="B199" s="12" t="s">
        <v>196</v>
      </c>
      <c r="C199" s="5" t="s">
        <v>1</v>
      </c>
      <c r="D199" s="5">
        <v>172</v>
      </c>
      <c r="E199" s="7">
        <v>2000</v>
      </c>
      <c r="F199" s="5">
        <v>0.995</v>
      </c>
      <c r="G199" s="20">
        <f t="shared" si="15"/>
        <v>344000</v>
      </c>
      <c r="H199" s="7">
        <f t="shared" si="14"/>
        <v>342280</v>
      </c>
      <c r="I199" s="233"/>
      <c r="J199" s="7">
        <f t="shared" si="13"/>
        <v>34228</v>
      </c>
      <c r="K199" s="279">
        <f aca="true" t="shared" si="16" ref="K199:K261">H199+J199</f>
        <v>376508</v>
      </c>
    </row>
    <row r="200" spans="1:11" ht="31.5">
      <c r="A200" s="5" t="s">
        <v>232</v>
      </c>
      <c r="B200" s="12" t="s">
        <v>197</v>
      </c>
      <c r="C200" s="5" t="s">
        <v>1</v>
      </c>
      <c r="D200" s="5">
        <v>172</v>
      </c>
      <c r="E200" s="7">
        <v>2000</v>
      </c>
      <c r="F200" s="5">
        <v>0.995</v>
      </c>
      <c r="G200" s="20">
        <f t="shared" si="15"/>
        <v>344000</v>
      </c>
      <c r="H200" s="7">
        <f t="shared" si="14"/>
        <v>342280</v>
      </c>
      <c r="I200" s="233"/>
      <c r="J200" s="7">
        <f t="shared" si="13"/>
        <v>34228</v>
      </c>
      <c r="K200" s="279">
        <f t="shared" si="16"/>
        <v>376508</v>
      </c>
    </row>
    <row r="201" spans="1:11" ht="47.25">
      <c r="A201" s="5" t="s">
        <v>233</v>
      </c>
      <c r="B201" s="12" t="s">
        <v>198</v>
      </c>
      <c r="C201" s="5" t="s">
        <v>1</v>
      </c>
      <c r="D201" s="5">
        <v>172</v>
      </c>
      <c r="E201" s="7">
        <v>2000</v>
      </c>
      <c r="F201" s="5">
        <v>0.995</v>
      </c>
      <c r="G201" s="20">
        <f t="shared" si="15"/>
        <v>344000</v>
      </c>
      <c r="H201" s="7">
        <f t="shared" si="14"/>
        <v>342280</v>
      </c>
      <c r="I201" s="233"/>
      <c r="J201" s="7">
        <f t="shared" si="13"/>
        <v>34228</v>
      </c>
      <c r="K201" s="279">
        <f t="shared" si="16"/>
        <v>376508</v>
      </c>
    </row>
    <row r="202" spans="1:11" ht="31.5">
      <c r="A202" s="5" t="s">
        <v>234</v>
      </c>
      <c r="B202" s="12" t="s">
        <v>199</v>
      </c>
      <c r="C202" s="5" t="s">
        <v>1</v>
      </c>
      <c r="D202" s="5">
        <v>172</v>
      </c>
      <c r="E202" s="7">
        <v>2000</v>
      </c>
      <c r="F202" s="5">
        <v>0.995</v>
      </c>
      <c r="G202" s="20">
        <f t="shared" si="15"/>
        <v>344000</v>
      </c>
      <c r="H202" s="7">
        <f t="shared" si="14"/>
        <v>342280</v>
      </c>
      <c r="I202" s="233"/>
      <c r="J202" s="7">
        <f t="shared" si="13"/>
        <v>34228</v>
      </c>
      <c r="K202" s="279">
        <f t="shared" si="16"/>
        <v>376508</v>
      </c>
    </row>
    <row r="203" spans="1:11" ht="31.5">
      <c r="A203" s="5" t="s">
        <v>235</v>
      </c>
      <c r="B203" s="12" t="s">
        <v>200</v>
      </c>
      <c r="C203" s="5" t="s">
        <v>1</v>
      </c>
      <c r="D203" s="5">
        <v>85</v>
      </c>
      <c r="E203" s="7">
        <v>2000</v>
      </c>
      <c r="F203" s="5">
        <v>0.995</v>
      </c>
      <c r="G203" s="20">
        <f t="shared" si="15"/>
        <v>170000</v>
      </c>
      <c r="H203" s="7">
        <f t="shared" si="14"/>
        <v>169150</v>
      </c>
      <c r="I203" s="233"/>
      <c r="J203" s="7">
        <f t="shared" si="13"/>
        <v>16915</v>
      </c>
      <c r="K203" s="279">
        <f t="shared" si="16"/>
        <v>186065</v>
      </c>
    </row>
    <row r="204" spans="1:11" ht="31.5">
      <c r="A204" s="5" t="s">
        <v>236</v>
      </c>
      <c r="B204" s="12" t="s">
        <v>201</v>
      </c>
      <c r="C204" s="5" t="s">
        <v>1</v>
      </c>
      <c r="D204" s="5">
        <v>55</v>
      </c>
      <c r="E204" s="7">
        <v>2000</v>
      </c>
      <c r="F204" s="5">
        <v>0.995</v>
      </c>
      <c r="G204" s="20">
        <f t="shared" si="15"/>
        <v>110000</v>
      </c>
      <c r="H204" s="7">
        <f t="shared" si="14"/>
        <v>109450</v>
      </c>
      <c r="I204" s="233"/>
      <c r="J204" s="7">
        <f t="shared" si="13"/>
        <v>10945</v>
      </c>
      <c r="K204" s="279">
        <f t="shared" si="16"/>
        <v>120395</v>
      </c>
    </row>
    <row r="205" spans="1:11" s="13" customFormat="1" ht="24.75" customHeight="1">
      <c r="A205" s="249">
        <v>17</v>
      </c>
      <c r="B205" s="11" t="s">
        <v>111</v>
      </c>
      <c r="C205" s="249"/>
      <c r="D205" s="249"/>
      <c r="E205" s="3"/>
      <c r="F205" s="249"/>
      <c r="G205" s="25">
        <f>G206+G207</f>
        <v>1350000</v>
      </c>
      <c r="H205" s="3">
        <f>H206+H207</f>
        <v>1343250</v>
      </c>
      <c r="I205" s="281"/>
      <c r="J205" s="3">
        <f t="shared" si="13"/>
        <v>134325</v>
      </c>
      <c r="K205" s="278">
        <f t="shared" si="16"/>
        <v>1477575</v>
      </c>
    </row>
    <row r="206" spans="1:11" ht="31.5">
      <c r="A206" s="5" t="s">
        <v>2</v>
      </c>
      <c r="B206" s="12" t="s">
        <v>112</v>
      </c>
      <c r="C206" s="5" t="s">
        <v>1</v>
      </c>
      <c r="D206" s="5">
        <v>550</v>
      </c>
      <c r="E206" s="7">
        <v>2000</v>
      </c>
      <c r="F206" s="5">
        <v>0.995</v>
      </c>
      <c r="G206" s="20">
        <f>D206*E206</f>
        <v>1100000</v>
      </c>
      <c r="H206" s="7">
        <f t="shared" si="14"/>
        <v>1094500</v>
      </c>
      <c r="I206" s="233"/>
      <c r="J206" s="7">
        <f t="shared" si="13"/>
        <v>109450</v>
      </c>
      <c r="K206" s="279">
        <f t="shared" si="16"/>
        <v>1203950</v>
      </c>
    </row>
    <row r="207" spans="1:11" ht="31.5">
      <c r="A207" s="5" t="s">
        <v>7</v>
      </c>
      <c r="B207" s="12" t="s">
        <v>113</v>
      </c>
      <c r="C207" s="5" t="s">
        <v>1</v>
      </c>
      <c r="D207" s="5">
        <v>125</v>
      </c>
      <c r="E207" s="7">
        <v>2000</v>
      </c>
      <c r="F207" s="5">
        <v>0.995</v>
      </c>
      <c r="G207" s="20">
        <f>D207*E207</f>
        <v>250000</v>
      </c>
      <c r="H207" s="7">
        <f t="shared" si="14"/>
        <v>248750</v>
      </c>
      <c r="I207" s="233"/>
      <c r="J207" s="7">
        <f t="shared" si="13"/>
        <v>24875</v>
      </c>
      <c r="K207" s="279">
        <f t="shared" si="16"/>
        <v>273625</v>
      </c>
    </row>
    <row r="208" spans="1:11" s="13" customFormat="1" ht="47.25">
      <c r="A208" s="249">
        <v>18</v>
      </c>
      <c r="B208" s="11" t="s">
        <v>114</v>
      </c>
      <c r="C208" s="14"/>
      <c r="D208" s="249"/>
      <c r="E208" s="3"/>
      <c r="F208" s="249"/>
      <c r="G208" s="25">
        <f>SUM(G209:G211)</f>
        <v>420000</v>
      </c>
      <c r="H208" s="3">
        <f>SUM(H209:H211)</f>
        <v>417900</v>
      </c>
      <c r="I208" s="281"/>
      <c r="J208" s="3">
        <f t="shared" si="13"/>
        <v>41790</v>
      </c>
      <c r="K208" s="278">
        <f t="shared" si="16"/>
        <v>459690</v>
      </c>
    </row>
    <row r="209" spans="1:11" ht="31.5">
      <c r="A209" s="5" t="s">
        <v>2</v>
      </c>
      <c r="B209" s="12" t="s">
        <v>115</v>
      </c>
      <c r="C209" s="5" t="s">
        <v>8</v>
      </c>
      <c r="D209" s="5">
        <v>100</v>
      </c>
      <c r="E209" s="7">
        <v>1500</v>
      </c>
      <c r="F209" s="5">
        <v>0.995</v>
      </c>
      <c r="G209" s="20">
        <f>D209*E209</f>
        <v>150000</v>
      </c>
      <c r="H209" s="7">
        <f t="shared" si="14"/>
        <v>149250</v>
      </c>
      <c r="I209" s="233"/>
      <c r="J209" s="7">
        <f t="shared" si="13"/>
        <v>14925</v>
      </c>
      <c r="K209" s="279">
        <f t="shared" si="16"/>
        <v>164175</v>
      </c>
    </row>
    <row r="210" spans="1:11" ht="31.5">
      <c r="A210" s="5" t="s">
        <v>7</v>
      </c>
      <c r="B210" s="12" t="s">
        <v>116</v>
      </c>
      <c r="C210" s="5" t="s">
        <v>8</v>
      </c>
      <c r="D210" s="5">
        <v>100</v>
      </c>
      <c r="E210" s="7">
        <v>1500</v>
      </c>
      <c r="F210" s="5">
        <v>0.995</v>
      </c>
      <c r="G210" s="20">
        <f>D210*E210</f>
        <v>150000</v>
      </c>
      <c r="H210" s="7">
        <f t="shared" si="14"/>
        <v>149250</v>
      </c>
      <c r="I210" s="233"/>
      <c r="J210" s="7">
        <f t="shared" si="13"/>
        <v>14925</v>
      </c>
      <c r="K210" s="279">
        <f t="shared" si="16"/>
        <v>164175</v>
      </c>
    </row>
    <row r="211" spans="1:11" ht="31.5">
      <c r="A211" s="5" t="s">
        <v>9</v>
      </c>
      <c r="B211" s="12" t="s">
        <v>117</v>
      </c>
      <c r="C211" s="5" t="s">
        <v>1</v>
      </c>
      <c r="D211" s="5">
        <v>60</v>
      </c>
      <c r="E211" s="7">
        <v>2000</v>
      </c>
      <c r="F211" s="5">
        <v>0.995</v>
      </c>
      <c r="G211" s="20">
        <f>D211*E211</f>
        <v>120000</v>
      </c>
      <c r="H211" s="7">
        <f t="shared" si="14"/>
        <v>119400</v>
      </c>
      <c r="I211" s="233"/>
      <c r="J211" s="7">
        <f t="shared" si="13"/>
        <v>11940</v>
      </c>
      <c r="K211" s="279">
        <f t="shared" si="16"/>
        <v>131340</v>
      </c>
    </row>
    <row r="212" spans="1:11" s="13" customFormat="1" ht="36.75" customHeight="1">
      <c r="A212" s="249">
        <v>19</v>
      </c>
      <c r="B212" s="11" t="s">
        <v>202</v>
      </c>
      <c r="C212" s="249"/>
      <c r="D212" s="249"/>
      <c r="E212" s="3"/>
      <c r="F212" s="249"/>
      <c r="G212" s="25">
        <f>G213+G214</f>
        <v>700000</v>
      </c>
      <c r="H212" s="3">
        <f>H213+H214</f>
        <v>696500</v>
      </c>
      <c r="I212" s="281"/>
      <c r="J212" s="3">
        <f t="shared" si="13"/>
        <v>69650</v>
      </c>
      <c r="K212" s="278">
        <f t="shared" si="16"/>
        <v>766150</v>
      </c>
    </row>
    <row r="213" spans="1:11" ht="47.25">
      <c r="A213" s="5" t="s">
        <v>2</v>
      </c>
      <c r="B213" s="12" t="s">
        <v>203</v>
      </c>
      <c r="C213" s="5" t="s">
        <v>1</v>
      </c>
      <c r="D213" s="5">
        <v>120</v>
      </c>
      <c r="E213" s="7">
        <v>2000</v>
      </c>
      <c r="F213" s="5">
        <v>0.995</v>
      </c>
      <c r="G213" s="20">
        <f>D213*E213</f>
        <v>240000</v>
      </c>
      <c r="H213" s="7">
        <f t="shared" si="14"/>
        <v>238800</v>
      </c>
      <c r="I213" s="233"/>
      <c r="J213" s="7">
        <f t="shared" si="13"/>
        <v>23880</v>
      </c>
      <c r="K213" s="279">
        <f t="shared" si="16"/>
        <v>262680</v>
      </c>
    </row>
    <row r="214" spans="1:11" ht="78.75">
      <c r="A214" s="5" t="s">
        <v>7</v>
      </c>
      <c r="B214" s="12" t="s">
        <v>204</v>
      </c>
      <c r="C214" s="5" t="s">
        <v>1</v>
      </c>
      <c r="D214" s="5">
        <v>230</v>
      </c>
      <c r="E214" s="7">
        <v>2000</v>
      </c>
      <c r="F214" s="5">
        <v>0.995</v>
      </c>
      <c r="G214" s="20">
        <f>D214*E214</f>
        <v>460000</v>
      </c>
      <c r="H214" s="7">
        <f t="shared" si="14"/>
        <v>457700</v>
      </c>
      <c r="I214" s="233"/>
      <c r="J214" s="7">
        <f t="shared" si="13"/>
        <v>45770</v>
      </c>
      <c r="K214" s="279">
        <f t="shared" si="16"/>
        <v>503470</v>
      </c>
    </row>
    <row r="215" spans="1:14" ht="42" customHeight="1">
      <c r="A215" s="249" t="s">
        <v>10</v>
      </c>
      <c r="B215" s="362" t="s">
        <v>242</v>
      </c>
      <c r="C215" s="362"/>
      <c r="D215" s="22" t="s">
        <v>121</v>
      </c>
      <c r="E215" s="23" t="s">
        <v>266</v>
      </c>
      <c r="F215" s="23" t="s">
        <v>269</v>
      </c>
      <c r="G215" s="23" t="s">
        <v>267</v>
      </c>
      <c r="H215" s="249" t="s">
        <v>268</v>
      </c>
      <c r="I215" s="233"/>
      <c r="J215" s="3"/>
      <c r="K215" s="279"/>
      <c r="L215" s="10"/>
      <c r="N215" s="10"/>
    </row>
    <row r="216" spans="1:14" ht="42" customHeight="1">
      <c r="A216" s="293"/>
      <c r="B216" s="373" t="s">
        <v>242</v>
      </c>
      <c r="C216" s="373"/>
      <c r="D216" s="373"/>
      <c r="E216" s="373"/>
      <c r="F216" s="373"/>
      <c r="G216" s="300"/>
      <c r="H216" s="298">
        <f>H217+H252</f>
        <v>35565337.5</v>
      </c>
      <c r="I216" s="301"/>
      <c r="J216" s="298">
        <f>H216*0.1</f>
        <v>3556533.75</v>
      </c>
      <c r="K216" s="299">
        <f t="shared" si="16"/>
        <v>39121871.25</v>
      </c>
      <c r="L216" s="10"/>
      <c r="N216" s="10"/>
    </row>
    <row r="217" spans="1:11" s="71" customFormat="1" ht="33.75" customHeight="1" thickBot="1">
      <c r="A217" s="67" t="s">
        <v>237</v>
      </c>
      <c r="B217" s="178" t="s">
        <v>243</v>
      </c>
      <c r="C217" s="68"/>
      <c r="D217" s="67"/>
      <c r="E217" s="67"/>
      <c r="F217" s="67"/>
      <c r="G217" s="69"/>
      <c r="H217" s="70">
        <f>SUM(H218:H251)</f>
        <v>26592431.25</v>
      </c>
      <c r="I217" s="282"/>
      <c r="J217" s="3">
        <f aca="true" t="shared" si="17" ref="J217:J261">H217*0.1</f>
        <v>2659243.125</v>
      </c>
      <c r="K217" s="278">
        <f t="shared" si="16"/>
        <v>29251674.375</v>
      </c>
    </row>
    <row r="218" spans="1:12" ht="110.25">
      <c r="A218" s="5">
        <v>1</v>
      </c>
      <c r="B218" s="99" t="s">
        <v>433</v>
      </c>
      <c r="C218" s="5" t="s">
        <v>247</v>
      </c>
      <c r="D218" s="5">
        <v>1</v>
      </c>
      <c r="E218" s="5">
        <v>1.05</v>
      </c>
      <c r="F218" s="5">
        <f aca="true" t="shared" si="18" ref="F218:F260">D218*E218</f>
        <v>1.05</v>
      </c>
      <c r="G218" s="20">
        <v>621500</v>
      </c>
      <c r="H218" s="7">
        <f>F218*G218</f>
        <v>652575</v>
      </c>
      <c r="I218" s="34" t="s">
        <v>592</v>
      </c>
      <c r="J218" s="7">
        <f t="shared" si="17"/>
        <v>65257.5</v>
      </c>
      <c r="K218" s="279">
        <f t="shared" si="16"/>
        <v>717832.5</v>
      </c>
      <c r="L218" s="369" t="s">
        <v>565</v>
      </c>
    </row>
    <row r="219" spans="1:12" ht="99">
      <c r="A219" s="5">
        <v>2</v>
      </c>
      <c r="B219" s="100" t="s">
        <v>434</v>
      </c>
      <c r="C219" s="5" t="s">
        <v>247</v>
      </c>
      <c r="D219" s="5">
        <v>1</v>
      </c>
      <c r="E219" s="5">
        <v>1.05</v>
      </c>
      <c r="F219" s="5">
        <f t="shared" si="18"/>
        <v>1.05</v>
      </c>
      <c r="G219" s="20">
        <v>621500</v>
      </c>
      <c r="H219" s="7">
        <f aca="true" t="shared" si="19" ref="H219:H247">F219*G219</f>
        <v>652575</v>
      </c>
      <c r="I219" s="34" t="s">
        <v>434</v>
      </c>
      <c r="J219" s="7">
        <f t="shared" si="17"/>
        <v>65257.5</v>
      </c>
      <c r="K219" s="279">
        <f t="shared" si="16"/>
        <v>717832.5</v>
      </c>
      <c r="L219" s="374"/>
    </row>
    <row r="220" spans="1:12" ht="99.75" thickBot="1">
      <c r="A220" s="5">
        <v>3</v>
      </c>
      <c r="B220" s="100" t="s">
        <v>435</v>
      </c>
      <c r="C220" s="5" t="s">
        <v>248</v>
      </c>
      <c r="D220" s="5">
        <v>1.5</v>
      </c>
      <c r="E220" s="5">
        <v>1.05</v>
      </c>
      <c r="F220" s="5">
        <f t="shared" si="18"/>
        <v>1.5750000000000002</v>
      </c>
      <c r="G220" s="20">
        <v>621500</v>
      </c>
      <c r="H220" s="7">
        <f t="shared" si="19"/>
        <v>978862.5000000001</v>
      </c>
      <c r="I220" s="34" t="s">
        <v>435</v>
      </c>
      <c r="J220" s="7">
        <f t="shared" si="17"/>
        <v>97886.25000000001</v>
      </c>
      <c r="K220" s="279">
        <f t="shared" si="16"/>
        <v>1076748.7500000002</v>
      </c>
      <c r="L220" s="375"/>
    </row>
    <row r="221" spans="1:12" ht="116.25" thickBot="1">
      <c r="A221" s="5">
        <v>4</v>
      </c>
      <c r="B221" s="101" t="s">
        <v>546</v>
      </c>
      <c r="C221" s="5" t="s">
        <v>247</v>
      </c>
      <c r="D221" s="5">
        <v>1</v>
      </c>
      <c r="E221" s="5">
        <v>1.05</v>
      </c>
      <c r="F221" s="5">
        <f t="shared" si="18"/>
        <v>1.05</v>
      </c>
      <c r="G221" s="20">
        <v>621500</v>
      </c>
      <c r="H221" s="7">
        <f t="shared" si="19"/>
        <v>652575</v>
      </c>
      <c r="I221" s="34" t="s">
        <v>546</v>
      </c>
      <c r="J221" s="7">
        <f t="shared" si="17"/>
        <v>65257.5</v>
      </c>
      <c r="K221" s="279">
        <f t="shared" si="16"/>
        <v>717832.5</v>
      </c>
      <c r="L221" s="221" t="s">
        <v>566</v>
      </c>
    </row>
    <row r="222" spans="1:12" ht="132">
      <c r="A222" s="5">
        <v>5</v>
      </c>
      <c r="B222" s="100" t="s">
        <v>436</v>
      </c>
      <c r="C222" s="5" t="s">
        <v>247</v>
      </c>
      <c r="D222" s="5">
        <v>1</v>
      </c>
      <c r="E222" s="5">
        <v>1.05</v>
      </c>
      <c r="F222" s="5">
        <f t="shared" si="18"/>
        <v>1.05</v>
      </c>
      <c r="G222" s="20">
        <v>621500</v>
      </c>
      <c r="H222" s="7">
        <f t="shared" si="19"/>
        <v>652575</v>
      </c>
      <c r="I222" s="34" t="s">
        <v>567</v>
      </c>
      <c r="J222" s="7">
        <f t="shared" si="17"/>
        <v>65257.5</v>
      </c>
      <c r="K222" s="279">
        <f t="shared" si="16"/>
        <v>717832.5</v>
      </c>
      <c r="L222" s="369" t="s">
        <v>568</v>
      </c>
    </row>
    <row r="223" spans="1:12" ht="66.75" thickBot="1">
      <c r="A223" s="5">
        <v>6</v>
      </c>
      <c r="B223" s="100" t="s">
        <v>437</v>
      </c>
      <c r="C223" s="5" t="s">
        <v>438</v>
      </c>
      <c r="D223" s="5">
        <v>0.5</v>
      </c>
      <c r="E223" s="5">
        <v>1.05</v>
      </c>
      <c r="F223" s="5">
        <f t="shared" si="18"/>
        <v>0.525</v>
      </c>
      <c r="G223" s="20">
        <v>621500</v>
      </c>
      <c r="H223" s="7">
        <f t="shared" si="19"/>
        <v>326287.5</v>
      </c>
      <c r="I223" s="34" t="s">
        <v>569</v>
      </c>
      <c r="J223" s="7">
        <f t="shared" si="17"/>
        <v>32628.75</v>
      </c>
      <c r="K223" s="279">
        <f t="shared" si="16"/>
        <v>358916.25</v>
      </c>
      <c r="L223" s="370"/>
    </row>
    <row r="224" spans="1:12" ht="97.5" customHeight="1">
      <c r="A224" s="5">
        <v>7</v>
      </c>
      <c r="B224" s="100" t="s">
        <v>570</v>
      </c>
      <c r="C224" s="5" t="s">
        <v>247</v>
      </c>
      <c r="D224" s="5">
        <v>1</v>
      </c>
      <c r="E224" s="5">
        <v>1.05</v>
      </c>
      <c r="F224" s="5">
        <f t="shared" si="18"/>
        <v>1.05</v>
      </c>
      <c r="G224" s="20">
        <v>621500</v>
      </c>
      <c r="H224" s="7">
        <f t="shared" si="19"/>
        <v>652575</v>
      </c>
      <c r="I224" s="34" t="s">
        <v>570</v>
      </c>
      <c r="J224" s="7">
        <f t="shared" si="17"/>
        <v>65257.5</v>
      </c>
      <c r="K224" s="279">
        <f t="shared" si="16"/>
        <v>717832.5</v>
      </c>
      <c r="L224" s="376" t="s">
        <v>571</v>
      </c>
    </row>
    <row r="225" spans="1:12" ht="108" customHeight="1">
      <c r="A225" s="5">
        <v>8</v>
      </c>
      <c r="B225" s="100" t="s">
        <v>439</v>
      </c>
      <c r="C225" s="5" t="s">
        <v>248</v>
      </c>
      <c r="D225" s="5">
        <v>1.5</v>
      </c>
      <c r="E225" s="5">
        <v>1.05</v>
      </c>
      <c r="F225" s="5">
        <f t="shared" si="18"/>
        <v>1.5750000000000002</v>
      </c>
      <c r="G225" s="20">
        <v>621500</v>
      </c>
      <c r="H225" s="7">
        <f t="shared" si="19"/>
        <v>978862.5000000001</v>
      </c>
      <c r="I225" s="34" t="s">
        <v>439</v>
      </c>
      <c r="J225" s="7">
        <f t="shared" si="17"/>
        <v>97886.25000000001</v>
      </c>
      <c r="K225" s="279">
        <f t="shared" si="16"/>
        <v>1076748.7500000002</v>
      </c>
      <c r="L225" s="374"/>
    </row>
    <row r="226" spans="1:12" ht="87" customHeight="1" thickBot="1">
      <c r="A226" s="5">
        <v>9</v>
      </c>
      <c r="B226" s="102" t="s">
        <v>440</v>
      </c>
      <c r="C226" s="5" t="s">
        <v>438</v>
      </c>
      <c r="D226" s="5">
        <v>0.5</v>
      </c>
      <c r="E226" s="5">
        <v>1.05</v>
      </c>
      <c r="F226" s="5">
        <f>D226*E226</f>
        <v>0.525</v>
      </c>
      <c r="G226" s="20">
        <v>621500</v>
      </c>
      <c r="H226" s="7">
        <f t="shared" si="19"/>
        <v>326287.5</v>
      </c>
      <c r="I226" s="34" t="s">
        <v>440</v>
      </c>
      <c r="J226" s="7">
        <f t="shared" si="17"/>
        <v>32628.75</v>
      </c>
      <c r="K226" s="279">
        <f t="shared" si="16"/>
        <v>358916.25</v>
      </c>
      <c r="L226" s="375"/>
    </row>
    <row r="227" spans="1:12" ht="99" customHeight="1">
      <c r="A227" s="5">
        <v>10</v>
      </c>
      <c r="B227" s="100" t="s">
        <v>441</v>
      </c>
      <c r="C227" s="5" t="s">
        <v>248</v>
      </c>
      <c r="D227" s="5">
        <v>1.5</v>
      </c>
      <c r="E227" s="5">
        <v>1.05</v>
      </c>
      <c r="F227" s="5">
        <f t="shared" si="18"/>
        <v>1.5750000000000002</v>
      </c>
      <c r="G227" s="20">
        <v>621500</v>
      </c>
      <c r="H227" s="7">
        <f t="shared" si="19"/>
        <v>978862.5000000001</v>
      </c>
      <c r="I227" s="34" t="s">
        <v>441</v>
      </c>
      <c r="J227" s="7">
        <f t="shared" si="17"/>
        <v>97886.25000000001</v>
      </c>
      <c r="K227" s="279">
        <f t="shared" si="16"/>
        <v>1076748.7500000002</v>
      </c>
      <c r="L227" s="369" t="s">
        <v>572</v>
      </c>
    </row>
    <row r="228" spans="1:12" ht="99" customHeight="1" thickBot="1">
      <c r="A228" s="5">
        <v>11</v>
      </c>
      <c r="B228" s="102" t="s">
        <v>442</v>
      </c>
      <c r="C228" s="5" t="s">
        <v>248</v>
      </c>
      <c r="D228" s="89">
        <v>1.5</v>
      </c>
      <c r="E228" s="5">
        <v>1.05</v>
      </c>
      <c r="F228" s="89">
        <f>D228*E228</f>
        <v>1.5750000000000002</v>
      </c>
      <c r="G228" s="90">
        <v>621500</v>
      </c>
      <c r="H228" s="7">
        <f t="shared" si="19"/>
        <v>978862.5000000001</v>
      </c>
      <c r="I228" s="34" t="s">
        <v>442</v>
      </c>
      <c r="J228" s="7">
        <f t="shared" si="17"/>
        <v>97886.25000000001</v>
      </c>
      <c r="K228" s="279">
        <f t="shared" si="16"/>
        <v>1076748.7500000002</v>
      </c>
      <c r="L228" s="375"/>
    </row>
    <row r="229" spans="1:12" ht="157.5">
      <c r="A229" s="5">
        <v>12</v>
      </c>
      <c r="B229" s="283" t="s">
        <v>593</v>
      </c>
      <c r="C229" s="5" t="s">
        <v>248</v>
      </c>
      <c r="D229" s="5">
        <v>1.5</v>
      </c>
      <c r="E229" s="5">
        <v>1.05</v>
      </c>
      <c r="F229" s="5">
        <f t="shared" si="18"/>
        <v>1.5750000000000002</v>
      </c>
      <c r="G229" s="20">
        <v>621500</v>
      </c>
      <c r="H229" s="7">
        <f t="shared" si="19"/>
        <v>978862.5000000001</v>
      </c>
      <c r="I229" s="283" t="s">
        <v>593</v>
      </c>
      <c r="J229" s="7">
        <f t="shared" si="17"/>
        <v>97886.25000000001</v>
      </c>
      <c r="K229" s="279">
        <f t="shared" si="16"/>
        <v>1076748.7500000002</v>
      </c>
      <c r="L229" s="369" t="s">
        <v>573</v>
      </c>
    </row>
    <row r="230" spans="1:12" ht="100.5" thickBot="1">
      <c r="A230" s="5">
        <v>13</v>
      </c>
      <c r="B230" s="102" t="s">
        <v>443</v>
      </c>
      <c r="C230" s="5" t="s">
        <v>247</v>
      </c>
      <c r="D230" s="5">
        <v>1</v>
      </c>
      <c r="E230" s="5">
        <v>1.05</v>
      </c>
      <c r="F230" s="5">
        <f>D230*E230</f>
        <v>1.05</v>
      </c>
      <c r="G230" s="20">
        <v>621500</v>
      </c>
      <c r="H230" s="7">
        <f t="shared" si="19"/>
        <v>652575</v>
      </c>
      <c r="I230" s="34" t="s">
        <v>574</v>
      </c>
      <c r="J230" s="7">
        <f t="shared" si="17"/>
        <v>65257.5</v>
      </c>
      <c r="K230" s="279">
        <f t="shared" si="16"/>
        <v>717832.5</v>
      </c>
      <c r="L230" s="375"/>
    </row>
    <row r="231" spans="1:12" ht="99.75" thickBot="1">
      <c r="A231" s="5">
        <v>14</v>
      </c>
      <c r="B231" s="100" t="s">
        <v>444</v>
      </c>
      <c r="C231" s="5" t="s">
        <v>250</v>
      </c>
      <c r="D231" s="5">
        <v>0.7</v>
      </c>
      <c r="E231" s="5">
        <v>1.05</v>
      </c>
      <c r="F231" s="5">
        <f>D231*E231</f>
        <v>0.735</v>
      </c>
      <c r="G231" s="20">
        <v>621500</v>
      </c>
      <c r="H231" s="7">
        <f t="shared" si="19"/>
        <v>456802.5</v>
      </c>
      <c r="I231" s="34" t="s">
        <v>444</v>
      </c>
      <c r="J231" s="7">
        <f t="shared" si="17"/>
        <v>45680.25</v>
      </c>
      <c r="K231" s="279">
        <f t="shared" si="16"/>
        <v>502482.75</v>
      </c>
      <c r="L231" s="224" t="s">
        <v>575</v>
      </c>
    </row>
    <row r="232" spans="1:12" ht="102.75" customHeight="1" thickBot="1">
      <c r="A232" s="5">
        <v>15</v>
      </c>
      <c r="B232" s="34" t="s">
        <v>594</v>
      </c>
      <c r="C232" s="5" t="s">
        <v>250</v>
      </c>
      <c r="D232" s="5">
        <v>0.7</v>
      </c>
      <c r="E232" s="5">
        <v>1.05</v>
      </c>
      <c r="F232" s="5">
        <f t="shared" si="18"/>
        <v>0.735</v>
      </c>
      <c r="G232" s="20">
        <v>621500</v>
      </c>
      <c r="H232" s="7">
        <f t="shared" si="19"/>
        <v>456802.5</v>
      </c>
      <c r="I232" s="34" t="s">
        <v>594</v>
      </c>
      <c r="J232" s="7">
        <f t="shared" si="17"/>
        <v>45680.25</v>
      </c>
      <c r="K232" s="279">
        <f t="shared" si="16"/>
        <v>502482.75</v>
      </c>
      <c r="L232" s="224" t="s">
        <v>576</v>
      </c>
    </row>
    <row r="233" spans="1:12" ht="101.25" customHeight="1" thickBot="1">
      <c r="A233" s="5">
        <v>16</v>
      </c>
      <c r="B233" s="103" t="s">
        <v>445</v>
      </c>
      <c r="C233" s="5" t="s">
        <v>250</v>
      </c>
      <c r="D233" s="5">
        <v>0.7</v>
      </c>
      <c r="E233" s="5">
        <v>1.05</v>
      </c>
      <c r="F233" s="5">
        <f t="shared" si="18"/>
        <v>0.735</v>
      </c>
      <c r="G233" s="20">
        <v>621500</v>
      </c>
      <c r="H233" s="7">
        <f t="shared" si="19"/>
        <v>456802.5</v>
      </c>
      <c r="I233" s="34" t="s">
        <v>445</v>
      </c>
      <c r="J233" s="7">
        <f t="shared" si="17"/>
        <v>45680.25</v>
      </c>
      <c r="K233" s="279">
        <f t="shared" si="16"/>
        <v>502482.75</v>
      </c>
      <c r="L233" s="225" t="s">
        <v>577</v>
      </c>
    </row>
    <row r="234" spans="1:12" ht="101.25" customHeight="1">
      <c r="A234" s="5">
        <v>17</v>
      </c>
      <c r="B234" s="100" t="s">
        <v>446</v>
      </c>
      <c r="C234" s="5" t="s">
        <v>250</v>
      </c>
      <c r="D234" s="5">
        <v>0.7</v>
      </c>
      <c r="E234" s="5">
        <v>1.05</v>
      </c>
      <c r="F234" s="5">
        <f t="shared" si="18"/>
        <v>0.735</v>
      </c>
      <c r="G234" s="20">
        <v>621500</v>
      </c>
      <c r="H234" s="7">
        <f t="shared" si="19"/>
        <v>456802.5</v>
      </c>
      <c r="I234" s="34" t="s">
        <v>446</v>
      </c>
      <c r="J234" s="7">
        <f t="shared" si="17"/>
        <v>45680.25</v>
      </c>
      <c r="K234" s="279">
        <f t="shared" si="16"/>
        <v>502482.75</v>
      </c>
      <c r="L234" s="369" t="s">
        <v>578</v>
      </c>
    </row>
    <row r="235" spans="1:12" ht="83.25" thickBot="1">
      <c r="A235" s="5">
        <v>18</v>
      </c>
      <c r="B235" s="104" t="s">
        <v>447</v>
      </c>
      <c r="C235" s="5" t="s">
        <v>250</v>
      </c>
      <c r="D235" s="5">
        <v>0.7</v>
      </c>
      <c r="E235" s="5">
        <v>1.05</v>
      </c>
      <c r="F235" s="5">
        <f t="shared" si="18"/>
        <v>0.735</v>
      </c>
      <c r="G235" s="20">
        <v>621500</v>
      </c>
      <c r="H235" s="7">
        <f t="shared" si="19"/>
        <v>456802.5</v>
      </c>
      <c r="I235" s="34" t="s">
        <v>447</v>
      </c>
      <c r="J235" s="7">
        <f t="shared" si="17"/>
        <v>45680.25</v>
      </c>
      <c r="K235" s="279">
        <f t="shared" si="16"/>
        <v>502482.75</v>
      </c>
      <c r="L235" s="375"/>
    </row>
    <row r="236" spans="1:12" ht="99.75" thickBot="1">
      <c r="A236" s="5">
        <v>19</v>
      </c>
      <c r="B236" s="100" t="s">
        <v>448</v>
      </c>
      <c r="C236" s="5" t="s">
        <v>250</v>
      </c>
      <c r="D236" s="5">
        <v>0.7</v>
      </c>
      <c r="E236" s="5">
        <v>1.05</v>
      </c>
      <c r="F236" s="5">
        <f>D236*E236</f>
        <v>0.735</v>
      </c>
      <c r="G236" s="20">
        <v>621500</v>
      </c>
      <c r="H236" s="7">
        <f t="shared" si="19"/>
        <v>456802.5</v>
      </c>
      <c r="I236" s="34" t="s">
        <v>448</v>
      </c>
      <c r="J236" s="7">
        <f t="shared" si="17"/>
        <v>45680.25</v>
      </c>
      <c r="K236" s="279">
        <f t="shared" si="16"/>
        <v>502482.75</v>
      </c>
      <c r="L236" s="224" t="s">
        <v>579</v>
      </c>
    </row>
    <row r="237" spans="1:12" ht="66">
      <c r="A237" s="5">
        <v>20</v>
      </c>
      <c r="B237" s="105" t="s">
        <v>449</v>
      </c>
      <c r="C237" s="5" t="s">
        <v>247</v>
      </c>
      <c r="D237" s="5">
        <v>1</v>
      </c>
      <c r="E237" s="5">
        <v>1.05</v>
      </c>
      <c r="F237" s="5">
        <f t="shared" si="18"/>
        <v>1.05</v>
      </c>
      <c r="G237" s="20">
        <v>621500</v>
      </c>
      <c r="H237" s="7">
        <f t="shared" si="19"/>
        <v>652575</v>
      </c>
      <c r="I237" s="34" t="s">
        <v>580</v>
      </c>
      <c r="J237" s="7">
        <f t="shared" si="17"/>
        <v>65257.5</v>
      </c>
      <c r="K237" s="279">
        <f t="shared" si="16"/>
        <v>717832.5</v>
      </c>
      <c r="L237" s="369" t="s">
        <v>581</v>
      </c>
    </row>
    <row r="238" spans="1:12" ht="82.5">
      <c r="A238" s="5">
        <v>21</v>
      </c>
      <c r="B238" s="105" t="s">
        <v>450</v>
      </c>
      <c r="C238" s="5" t="s">
        <v>247</v>
      </c>
      <c r="D238" s="5">
        <v>1</v>
      </c>
      <c r="E238" s="5">
        <v>1.05</v>
      </c>
      <c r="F238" s="5">
        <f t="shared" si="18"/>
        <v>1.05</v>
      </c>
      <c r="G238" s="20">
        <v>621500</v>
      </c>
      <c r="H238" s="7">
        <f t="shared" si="19"/>
        <v>652575</v>
      </c>
      <c r="I238" s="34" t="s">
        <v>450</v>
      </c>
      <c r="J238" s="7">
        <f t="shared" si="17"/>
        <v>65257.5</v>
      </c>
      <c r="K238" s="279">
        <f t="shared" si="16"/>
        <v>717832.5</v>
      </c>
      <c r="L238" s="374"/>
    </row>
    <row r="239" spans="1:12" ht="63.75" thickBot="1">
      <c r="A239" s="5">
        <v>22</v>
      </c>
      <c r="B239" s="87" t="s">
        <v>582</v>
      </c>
      <c r="C239" s="5" t="s">
        <v>249</v>
      </c>
      <c r="D239" s="5">
        <v>2</v>
      </c>
      <c r="E239" s="5">
        <v>1.05</v>
      </c>
      <c r="F239" s="5">
        <f t="shared" si="18"/>
        <v>2.1</v>
      </c>
      <c r="G239" s="20">
        <v>621500</v>
      </c>
      <c r="H239" s="7">
        <f t="shared" si="19"/>
        <v>1305150</v>
      </c>
      <c r="I239" s="87" t="s">
        <v>582</v>
      </c>
      <c r="J239" s="7">
        <f t="shared" si="17"/>
        <v>130515</v>
      </c>
      <c r="K239" s="279">
        <f t="shared" si="16"/>
        <v>1435665</v>
      </c>
      <c r="L239" s="370"/>
    </row>
    <row r="240" spans="1:12" ht="83.25" thickBot="1">
      <c r="A240" s="5">
        <v>23</v>
      </c>
      <c r="B240" s="179" t="s">
        <v>451</v>
      </c>
      <c r="C240" s="5" t="s">
        <v>452</v>
      </c>
      <c r="D240" s="5">
        <v>1.25</v>
      </c>
      <c r="E240" s="5">
        <v>1.05</v>
      </c>
      <c r="F240" s="5">
        <f t="shared" si="18"/>
        <v>1.3125</v>
      </c>
      <c r="G240" s="20">
        <v>621500</v>
      </c>
      <c r="H240" s="7">
        <f t="shared" si="19"/>
        <v>815718.75</v>
      </c>
      <c r="I240" s="34" t="s">
        <v>451</v>
      </c>
      <c r="J240" s="7">
        <f t="shared" si="17"/>
        <v>81571.875</v>
      </c>
      <c r="K240" s="279">
        <f t="shared" si="16"/>
        <v>897290.625</v>
      </c>
      <c r="L240" s="225" t="s">
        <v>583</v>
      </c>
    </row>
    <row r="241" spans="1:12" ht="78.75">
      <c r="A241" s="5">
        <v>24</v>
      </c>
      <c r="B241" s="87" t="s">
        <v>584</v>
      </c>
      <c r="C241" s="5" t="s">
        <v>248</v>
      </c>
      <c r="D241" s="5">
        <v>1.5</v>
      </c>
      <c r="E241" s="5">
        <v>1.05</v>
      </c>
      <c r="F241" s="5">
        <f t="shared" si="18"/>
        <v>1.5750000000000002</v>
      </c>
      <c r="G241" s="20">
        <v>621500</v>
      </c>
      <c r="H241" s="7">
        <f t="shared" si="19"/>
        <v>978862.5000000001</v>
      </c>
      <c r="I241" s="87" t="s">
        <v>584</v>
      </c>
      <c r="J241" s="7">
        <f t="shared" si="17"/>
        <v>97886.25000000001</v>
      </c>
      <c r="K241" s="279">
        <f t="shared" si="16"/>
        <v>1076748.7500000002</v>
      </c>
      <c r="L241" s="369" t="s">
        <v>585</v>
      </c>
    </row>
    <row r="242" spans="1:12" ht="82.5">
      <c r="A242" s="5">
        <v>25</v>
      </c>
      <c r="B242" s="100" t="s">
        <v>453</v>
      </c>
      <c r="C242" s="5" t="s">
        <v>248</v>
      </c>
      <c r="D242" s="5">
        <v>1.5</v>
      </c>
      <c r="E242" s="5">
        <v>1.05</v>
      </c>
      <c r="F242" s="5">
        <f>D242*E242</f>
        <v>1.5750000000000002</v>
      </c>
      <c r="G242" s="20">
        <v>621500</v>
      </c>
      <c r="H242" s="7">
        <f t="shared" si="19"/>
        <v>978862.5000000001</v>
      </c>
      <c r="I242" s="34" t="s">
        <v>586</v>
      </c>
      <c r="J242" s="7">
        <f t="shared" si="17"/>
        <v>97886.25000000001</v>
      </c>
      <c r="K242" s="279">
        <f t="shared" si="16"/>
        <v>1076748.7500000002</v>
      </c>
      <c r="L242" s="374"/>
    </row>
    <row r="243" spans="1:12" ht="62.25" customHeight="1">
      <c r="A243" s="5">
        <v>26</v>
      </c>
      <c r="B243" s="100" t="s">
        <v>454</v>
      </c>
      <c r="C243" s="5" t="s">
        <v>270</v>
      </c>
      <c r="D243" s="5">
        <v>2</v>
      </c>
      <c r="E243" s="5">
        <v>1.05</v>
      </c>
      <c r="F243" s="5">
        <f>D243*E243</f>
        <v>2.1</v>
      </c>
      <c r="G243" s="20">
        <v>621500</v>
      </c>
      <c r="H243" s="7">
        <f t="shared" si="19"/>
        <v>1305150</v>
      </c>
      <c r="I243" s="34" t="s">
        <v>587</v>
      </c>
      <c r="J243" s="7">
        <f t="shared" si="17"/>
        <v>130515</v>
      </c>
      <c r="K243" s="279">
        <f t="shared" si="16"/>
        <v>1435665</v>
      </c>
      <c r="L243" s="374"/>
    </row>
    <row r="244" spans="1:12" ht="79.5" thickBot="1">
      <c r="A244" s="89">
        <v>27</v>
      </c>
      <c r="B244" s="106" t="s">
        <v>455</v>
      </c>
      <c r="C244" s="89" t="s">
        <v>563</v>
      </c>
      <c r="D244" s="89">
        <v>2</v>
      </c>
      <c r="E244" s="89">
        <v>1.05</v>
      </c>
      <c r="F244" s="89">
        <f>D244*E244</f>
        <v>2.1</v>
      </c>
      <c r="G244" s="90">
        <v>621500</v>
      </c>
      <c r="H244" s="284">
        <f t="shared" si="19"/>
        <v>1305150</v>
      </c>
      <c r="I244" s="34" t="s">
        <v>588</v>
      </c>
      <c r="J244" s="7">
        <f t="shared" si="17"/>
        <v>130515</v>
      </c>
      <c r="K244" s="279">
        <f t="shared" si="16"/>
        <v>1435665</v>
      </c>
      <c r="L244" s="375"/>
    </row>
    <row r="245" spans="1:12" ht="82.5">
      <c r="A245" s="5">
        <v>28</v>
      </c>
      <c r="B245" s="100" t="s">
        <v>456</v>
      </c>
      <c r="C245" s="5" t="s">
        <v>248</v>
      </c>
      <c r="D245" s="5">
        <v>1.5</v>
      </c>
      <c r="E245" s="5">
        <v>1.05</v>
      </c>
      <c r="F245" s="5">
        <f>D245*E245</f>
        <v>1.5750000000000002</v>
      </c>
      <c r="G245" s="20">
        <v>621500</v>
      </c>
      <c r="H245" s="7">
        <f t="shared" si="19"/>
        <v>978862.5000000001</v>
      </c>
      <c r="I245" s="34" t="s">
        <v>456</v>
      </c>
      <c r="J245" s="7">
        <f t="shared" si="17"/>
        <v>97886.25000000001</v>
      </c>
      <c r="K245" s="279">
        <f t="shared" si="16"/>
        <v>1076748.7500000002</v>
      </c>
      <c r="L245" s="369" t="s">
        <v>589</v>
      </c>
    </row>
    <row r="246" spans="1:12" ht="82.5">
      <c r="A246" s="5">
        <v>29</v>
      </c>
      <c r="B246" s="100" t="s">
        <v>479</v>
      </c>
      <c r="C246" s="5" t="s">
        <v>249</v>
      </c>
      <c r="D246" s="5">
        <v>2</v>
      </c>
      <c r="E246" s="5">
        <v>1.05</v>
      </c>
      <c r="F246" s="5">
        <f>D246*E246</f>
        <v>2.1</v>
      </c>
      <c r="G246" s="20">
        <v>621500</v>
      </c>
      <c r="H246" s="7">
        <f t="shared" si="19"/>
        <v>1305150</v>
      </c>
      <c r="I246" s="34" t="s">
        <v>590</v>
      </c>
      <c r="J246" s="7">
        <f t="shared" si="17"/>
        <v>130515</v>
      </c>
      <c r="K246" s="279">
        <f t="shared" si="16"/>
        <v>1435665</v>
      </c>
      <c r="L246" s="374"/>
    </row>
    <row r="247" spans="1:12" ht="99">
      <c r="A247" s="5">
        <v>30</v>
      </c>
      <c r="B247" s="100" t="s">
        <v>457</v>
      </c>
      <c r="C247" s="5" t="s">
        <v>461</v>
      </c>
      <c r="D247" s="5">
        <v>0.8</v>
      </c>
      <c r="E247" s="5">
        <v>1.05</v>
      </c>
      <c r="F247" s="5">
        <f t="shared" si="18"/>
        <v>0.8400000000000001</v>
      </c>
      <c r="G247" s="20">
        <v>621500</v>
      </c>
      <c r="H247" s="7">
        <f t="shared" si="19"/>
        <v>522060.00000000006</v>
      </c>
      <c r="I247" s="34" t="s">
        <v>457</v>
      </c>
      <c r="J247" s="7">
        <f t="shared" si="17"/>
        <v>52206.00000000001</v>
      </c>
      <c r="K247" s="279">
        <f t="shared" si="16"/>
        <v>574266.0000000001</v>
      </c>
      <c r="L247" s="374"/>
    </row>
    <row r="248" spans="1:12" ht="82.5">
      <c r="A248" s="5">
        <v>31</v>
      </c>
      <c r="B248" s="100" t="s">
        <v>458</v>
      </c>
      <c r="C248" s="5" t="s">
        <v>248</v>
      </c>
      <c r="D248" s="89">
        <v>1.5</v>
      </c>
      <c r="E248" s="5">
        <v>1.05</v>
      </c>
      <c r="F248" s="89">
        <f>D248*E248</f>
        <v>1.5750000000000002</v>
      </c>
      <c r="G248" s="90">
        <v>621500</v>
      </c>
      <c r="H248" s="7">
        <f>F248*G248</f>
        <v>978862.5000000001</v>
      </c>
      <c r="I248" s="34" t="s">
        <v>458</v>
      </c>
      <c r="J248" s="7">
        <f t="shared" si="17"/>
        <v>97886.25000000001</v>
      </c>
      <c r="K248" s="279">
        <f t="shared" si="16"/>
        <v>1076748.7500000002</v>
      </c>
      <c r="L248" s="374"/>
    </row>
    <row r="249" spans="1:12" ht="82.5">
      <c r="A249" s="5">
        <v>32</v>
      </c>
      <c r="B249" s="102" t="s">
        <v>459</v>
      </c>
      <c r="C249" s="5" t="s">
        <v>249</v>
      </c>
      <c r="D249" s="5">
        <v>2</v>
      </c>
      <c r="E249" s="5">
        <v>1.05</v>
      </c>
      <c r="F249" s="5">
        <f>D249*E249</f>
        <v>2.1</v>
      </c>
      <c r="G249" s="20">
        <v>621500</v>
      </c>
      <c r="H249" s="7">
        <f>F249*G249</f>
        <v>1305150</v>
      </c>
      <c r="I249" s="34" t="s">
        <v>459</v>
      </c>
      <c r="J249" s="7">
        <f t="shared" si="17"/>
        <v>130515</v>
      </c>
      <c r="K249" s="279">
        <f t="shared" si="16"/>
        <v>1435665</v>
      </c>
      <c r="L249" s="374"/>
    </row>
    <row r="250" spans="1:12" ht="83.25" thickBot="1">
      <c r="A250" s="5">
        <v>33</v>
      </c>
      <c r="B250" s="100" t="s">
        <v>460</v>
      </c>
      <c r="C250" s="5" t="s">
        <v>247</v>
      </c>
      <c r="D250" s="5">
        <v>1</v>
      </c>
      <c r="E250" s="5">
        <v>1.05</v>
      </c>
      <c r="F250" s="5">
        <f>D250*E250</f>
        <v>1.05</v>
      </c>
      <c r="G250" s="20">
        <v>621500</v>
      </c>
      <c r="H250" s="7">
        <f>F250*G250</f>
        <v>652575</v>
      </c>
      <c r="I250" s="34" t="s">
        <v>460</v>
      </c>
      <c r="J250" s="7">
        <f t="shared" si="17"/>
        <v>65257.5</v>
      </c>
      <c r="K250" s="279">
        <f t="shared" si="16"/>
        <v>717832.5</v>
      </c>
      <c r="L250" s="370"/>
    </row>
    <row r="251" spans="1:12" ht="41.25" customHeight="1" thickBot="1">
      <c r="A251" s="5">
        <v>34</v>
      </c>
      <c r="B251" s="34" t="s">
        <v>595</v>
      </c>
      <c r="C251" s="5" t="s">
        <v>247</v>
      </c>
      <c r="D251" s="5">
        <v>1</v>
      </c>
      <c r="E251" s="5">
        <v>1.05</v>
      </c>
      <c r="F251" s="5">
        <f>D251*E251</f>
        <v>1.05</v>
      </c>
      <c r="G251" s="20">
        <v>621500</v>
      </c>
      <c r="H251" s="7">
        <f>F251*G251</f>
        <v>652575</v>
      </c>
      <c r="I251" s="34" t="s">
        <v>595</v>
      </c>
      <c r="J251" s="7">
        <f t="shared" si="17"/>
        <v>65257.5</v>
      </c>
      <c r="K251" s="279">
        <f t="shared" si="16"/>
        <v>717832.5</v>
      </c>
      <c r="L251" s="232" t="s">
        <v>591</v>
      </c>
    </row>
    <row r="252" spans="1:12" s="71" customFormat="1" ht="39" customHeight="1">
      <c r="A252" s="67" t="s">
        <v>238</v>
      </c>
      <c r="B252" s="178" t="s">
        <v>244</v>
      </c>
      <c r="C252" s="72"/>
      <c r="D252" s="67"/>
      <c r="E252" s="67"/>
      <c r="F252" s="68"/>
      <c r="G252" s="69"/>
      <c r="H252" s="70">
        <f>SUM(H253:H261)</f>
        <v>8972906.25</v>
      </c>
      <c r="I252" s="282"/>
      <c r="J252" s="3">
        <f t="shared" si="17"/>
        <v>897290.625</v>
      </c>
      <c r="K252" s="278">
        <f t="shared" si="16"/>
        <v>9870196.875</v>
      </c>
      <c r="L252" s="271"/>
    </row>
    <row r="253" spans="1:12" ht="82.5">
      <c r="A253" s="5">
        <v>35</v>
      </c>
      <c r="B253" s="100" t="s">
        <v>462</v>
      </c>
      <c r="C253" s="5" t="s">
        <v>559</v>
      </c>
      <c r="D253" s="5">
        <v>2</v>
      </c>
      <c r="E253" s="5">
        <v>1.05</v>
      </c>
      <c r="F253" s="5">
        <f t="shared" si="18"/>
        <v>2.1</v>
      </c>
      <c r="G253" s="20">
        <v>621500</v>
      </c>
      <c r="H253" s="7">
        <f aca="true" t="shared" si="20" ref="H253:H260">F253*G253</f>
        <v>1305150</v>
      </c>
      <c r="I253" s="233"/>
      <c r="J253" s="7">
        <f t="shared" si="17"/>
        <v>130515</v>
      </c>
      <c r="K253" s="279">
        <f t="shared" si="16"/>
        <v>1435665</v>
      </c>
      <c r="L253" s="272" t="s">
        <v>596</v>
      </c>
    </row>
    <row r="254" spans="1:12" ht="82.5">
      <c r="A254" s="5">
        <v>36</v>
      </c>
      <c r="B254" s="100" t="s">
        <v>463</v>
      </c>
      <c r="C254" s="5" t="s">
        <v>560</v>
      </c>
      <c r="D254" s="5">
        <v>1.75</v>
      </c>
      <c r="E254" s="5">
        <v>1.05</v>
      </c>
      <c r="F254" s="5">
        <f t="shared" si="18"/>
        <v>1.8375000000000001</v>
      </c>
      <c r="G254" s="20">
        <v>621500</v>
      </c>
      <c r="H254" s="7">
        <f t="shared" si="20"/>
        <v>1142006.25</v>
      </c>
      <c r="I254" s="233"/>
      <c r="J254" s="7">
        <f t="shared" si="17"/>
        <v>114200.625</v>
      </c>
      <c r="K254" s="279">
        <f t="shared" si="16"/>
        <v>1256206.875</v>
      </c>
      <c r="L254" s="273" t="s">
        <v>604</v>
      </c>
    </row>
    <row r="255" spans="1:12" ht="82.5">
      <c r="A255" s="5">
        <v>37</v>
      </c>
      <c r="B255" s="100" t="s">
        <v>464</v>
      </c>
      <c r="C255" s="5" t="s">
        <v>560</v>
      </c>
      <c r="D255" s="5">
        <v>1.75</v>
      </c>
      <c r="E255" s="5">
        <v>1.05</v>
      </c>
      <c r="F255" s="5">
        <f t="shared" si="18"/>
        <v>1.8375000000000001</v>
      </c>
      <c r="G255" s="20">
        <v>621500</v>
      </c>
      <c r="H255" s="7">
        <f t="shared" si="20"/>
        <v>1142006.25</v>
      </c>
      <c r="I255" s="233"/>
      <c r="J255" s="7">
        <f t="shared" si="17"/>
        <v>114200.625</v>
      </c>
      <c r="K255" s="279">
        <f t="shared" si="16"/>
        <v>1256206.875</v>
      </c>
      <c r="L255" s="273" t="s">
        <v>597</v>
      </c>
    </row>
    <row r="256" spans="1:12" ht="82.5">
      <c r="A256" s="5">
        <v>38</v>
      </c>
      <c r="B256" s="100" t="s">
        <v>465</v>
      </c>
      <c r="C256" s="5" t="s">
        <v>558</v>
      </c>
      <c r="D256" s="5">
        <v>1.5</v>
      </c>
      <c r="E256" s="5">
        <v>1.05</v>
      </c>
      <c r="F256" s="5">
        <f t="shared" si="18"/>
        <v>1.5750000000000002</v>
      </c>
      <c r="G256" s="20">
        <v>621500</v>
      </c>
      <c r="H256" s="7">
        <f t="shared" si="20"/>
        <v>978862.5000000001</v>
      </c>
      <c r="I256" s="233"/>
      <c r="J256" s="7">
        <f t="shared" si="17"/>
        <v>97886.25000000001</v>
      </c>
      <c r="K256" s="279">
        <f t="shared" si="16"/>
        <v>1076748.7500000002</v>
      </c>
      <c r="L256" s="273" t="s">
        <v>598</v>
      </c>
    </row>
    <row r="257" spans="1:12" ht="82.5">
      <c r="A257" s="5">
        <v>39</v>
      </c>
      <c r="B257" s="100" t="s">
        <v>466</v>
      </c>
      <c r="C257" s="5" t="s">
        <v>271</v>
      </c>
      <c r="D257" s="5">
        <v>1.25</v>
      </c>
      <c r="E257" s="5">
        <v>1.05</v>
      </c>
      <c r="F257" s="5">
        <f t="shared" si="18"/>
        <v>1.3125</v>
      </c>
      <c r="G257" s="20">
        <v>621500</v>
      </c>
      <c r="H257" s="7">
        <f t="shared" si="20"/>
        <v>815718.75</v>
      </c>
      <c r="I257" s="233"/>
      <c r="J257" s="7">
        <f t="shared" si="17"/>
        <v>81571.875</v>
      </c>
      <c r="K257" s="279">
        <f t="shared" si="16"/>
        <v>897290.625</v>
      </c>
      <c r="L257" s="273" t="s">
        <v>599</v>
      </c>
    </row>
    <row r="258" spans="1:12" ht="82.5">
      <c r="A258" s="5">
        <v>40</v>
      </c>
      <c r="B258" s="100" t="s">
        <v>467</v>
      </c>
      <c r="C258" s="5" t="s">
        <v>271</v>
      </c>
      <c r="D258" s="5">
        <v>1.25</v>
      </c>
      <c r="E258" s="5">
        <v>1.05</v>
      </c>
      <c r="F258" s="5">
        <f t="shared" si="18"/>
        <v>1.3125</v>
      </c>
      <c r="G258" s="20">
        <v>621500</v>
      </c>
      <c r="H258" s="7">
        <f t="shared" si="20"/>
        <v>815718.75</v>
      </c>
      <c r="I258" s="233"/>
      <c r="J258" s="7">
        <f t="shared" si="17"/>
        <v>81571.875</v>
      </c>
      <c r="K258" s="279">
        <f t="shared" si="16"/>
        <v>897290.625</v>
      </c>
      <c r="L258" s="273" t="s">
        <v>600</v>
      </c>
    </row>
    <row r="259" spans="1:12" ht="82.5">
      <c r="A259" s="5">
        <v>41</v>
      </c>
      <c r="B259" s="100" t="s">
        <v>468</v>
      </c>
      <c r="C259" s="5" t="s">
        <v>561</v>
      </c>
      <c r="D259" s="5">
        <v>1.5</v>
      </c>
      <c r="E259" s="5">
        <v>1.05</v>
      </c>
      <c r="F259" s="5">
        <f t="shared" si="18"/>
        <v>1.5750000000000002</v>
      </c>
      <c r="G259" s="20">
        <v>621500</v>
      </c>
      <c r="H259" s="7">
        <f t="shared" si="20"/>
        <v>978862.5000000001</v>
      </c>
      <c r="I259" s="233"/>
      <c r="J259" s="7">
        <f t="shared" si="17"/>
        <v>97886.25000000001</v>
      </c>
      <c r="K259" s="279">
        <f t="shared" si="16"/>
        <v>1076748.7500000002</v>
      </c>
      <c r="L259" s="273" t="s">
        <v>601</v>
      </c>
    </row>
    <row r="260" spans="1:12" ht="82.5">
      <c r="A260" s="5">
        <v>42</v>
      </c>
      <c r="B260" s="100" t="s">
        <v>469</v>
      </c>
      <c r="C260" s="5" t="s">
        <v>562</v>
      </c>
      <c r="D260" s="5">
        <v>1.5</v>
      </c>
      <c r="E260" s="5">
        <v>1.05</v>
      </c>
      <c r="F260" s="5">
        <f t="shared" si="18"/>
        <v>1.5750000000000002</v>
      </c>
      <c r="G260" s="20">
        <v>621500</v>
      </c>
      <c r="H260" s="7">
        <f t="shared" si="20"/>
        <v>978862.5000000001</v>
      </c>
      <c r="I260" s="233"/>
      <c r="J260" s="7">
        <f t="shared" si="17"/>
        <v>97886.25000000001</v>
      </c>
      <c r="K260" s="279">
        <f t="shared" si="16"/>
        <v>1076748.7500000002</v>
      </c>
      <c r="L260" s="273" t="s">
        <v>602</v>
      </c>
    </row>
    <row r="261" spans="1:12" ht="83.25" thickBot="1">
      <c r="A261" s="199">
        <v>43</v>
      </c>
      <c r="B261" s="200" t="s">
        <v>470</v>
      </c>
      <c r="C261" s="201" t="s">
        <v>271</v>
      </c>
      <c r="D261" s="201">
        <v>1.25</v>
      </c>
      <c r="E261" s="201">
        <v>1.05</v>
      </c>
      <c r="F261" s="201">
        <f>D261*E261</f>
        <v>1.3125</v>
      </c>
      <c r="G261" s="202">
        <v>621500</v>
      </c>
      <c r="H261" s="245">
        <f>F261*G261</f>
        <v>815718.75</v>
      </c>
      <c r="I261" s="270"/>
      <c r="J261" s="245">
        <f t="shared" si="17"/>
        <v>81571.875</v>
      </c>
      <c r="K261" s="280">
        <f t="shared" si="16"/>
        <v>897290.625</v>
      </c>
      <c r="L261" s="274" t="s">
        <v>603</v>
      </c>
    </row>
  </sheetData>
  <sheetProtection/>
  <mergeCells count="14">
    <mergeCell ref="L241:L244"/>
    <mergeCell ref="L245:L250"/>
    <mergeCell ref="L222:L223"/>
    <mergeCell ref="L224:L226"/>
    <mergeCell ref="L227:L228"/>
    <mergeCell ref="L229:L230"/>
    <mergeCell ref="L234:L235"/>
    <mergeCell ref="L237:L239"/>
    <mergeCell ref="A2:H2"/>
    <mergeCell ref="B3:H3"/>
    <mergeCell ref="B6:G6"/>
    <mergeCell ref="B215:C215"/>
    <mergeCell ref="B216:F216"/>
    <mergeCell ref="L218:L220"/>
  </mergeCells>
  <printOptions horizontalCentered="1"/>
  <pageMargins left="0.31496062992125984" right="0.31496062992125984" top="0.35433070866141736" bottom="0.5511811023622047" header="0.31496062992125984" footer="0.31496062992125984"/>
  <pageSetup horizontalDpi="600" verticalDpi="600" orientation="landscape"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3:I17"/>
  <sheetViews>
    <sheetView zoomScalePageLayoutView="0" workbookViewId="0" topLeftCell="A1">
      <selection activeCell="H10" sqref="H10"/>
    </sheetView>
  </sheetViews>
  <sheetFormatPr defaultColWidth="9.140625" defaultRowHeight="15"/>
  <cols>
    <col min="2" max="2" width="27.00390625" style="0" customWidth="1"/>
    <col min="3" max="3" width="11.00390625" style="0" customWidth="1"/>
    <col min="4" max="4" width="13.28125" style="0" customWidth="1"/>
    <col min="5" max="5" width="12.8515625" style="0" customWidth="1"/>
    <col min="6" max="6" width="16.8515625" style="0" customWidth="1"/>
    <col min="7" max="7" width="6.8515625" style="0" customWidth="1"/>
    <col min="8" max="8" width="17.7109375" style="0" customWidth="1"/>
    <col min="9" max="9" width="14.28125" style="0" bestFit="1" customWidth="1"/>
  </cols>
  <sheetData>
    <row r="3" ht="15.75">
      <c r="H3" s="204" t="s">
        <v>533</v>
      </c>
    </row>
    <row r="4" spans="1:8" ht="31.5">
      <c r="A4" s="42" t="s">
        <v>273</v>
      </c>
      <c r="B4" s="43" t="s">
        <v>423</v>
      </c>
      <c r="C4" s="42" t="s">
        <v>318</v>
      </c>
      <c r="D4" s="42" t="s">
        <v>298</v>
      </c>
      <c r="E4" s="44" t="s">
        <v>299</v>
      </c>
      <c r="F4" s="53">
        <f>SUM(F5:F17)</f>
        <v>101630000</v>
      </c>
      <c r="G4" s="47">
        <v>43</v>
      </c>
      <c r="H4" s="53">
        <f>F4*G4</f>
        <v>4370090000</v>
      </c>
    </row>
    <row r="5" spans="1:8" ht="15.75">
      <c r="A5" s="45">
        <v>1</v>
      </c>
      <c r="B5" s="17" t="s">
        <v>301</v>
      </c>
      <c r="C5" s="45" t="s">
        <v>319</v>
      </c>
      <c r="D5" s="45" t="s">
        <v>424</v>
      </c>
      <c r="E5" s="46">
        <v>450000</v>
      </c>
      <c r="F5" s="47">
        <f>E5*5*1</f>
        <v>2250000</v>
      </c>
      <c r="G5" s="47">
        <v>43</v>
      </c>
      <c r="H5" s="47">
        <f>F5*G5</f>
        <v>96750000</v>
      </c>
    </row>
    <row r="6" spans="1:9" ht="31.5">
      <c r="A6" s="45">
        <v>2</v>
      </c>
      <c r="B6" s="17" t="s">
        <v>302</v>
      </c>
      <c r="C6" s="45" t="s">
        <v>303</v>
      </c>
      <c r="D6" s="45">
        <v>5</v>
      </c>
      <c r="E6" s="49">
        <v>5000000</v>
      </c>
      <c r="F6" s="47">
        <f>D6*E6</f>
        <v>25000000</v>
      </c>
      <c r="G6" s="47">
        <v>43</v>
      </c>
      <c r="H6" s="47">
        <f aca="true" t="shared" si="0" ref="H6:H17">F6*G6</f>
        <v>1075000000</v>
      </c>
      <c r="I6" s="92"/>
    </row>
    <row r="7" spans="1:8" ht="47.25">
      <c r="A7" s="45">
        <v>3</v>
      </c>
      <c r="B7" s="17" t="s">
        <v>304</v>
      </c>
      <c r="C7" s="45" t="s">
        <v>303</v>
      </c>
      <c r="D7" s="45">
        <v>5</v>
      </c>
      <c r="E7" s="49">
        <v>200000</v>
      </c>
      <c r="F7" s="47">
        <f>D7*E7</f>
        <v>1000000</v>
      </c>
      <c r="G7" s="47">
        <v>43</v>
      </c>
      <c r="H7" s="47">
        <f t="shared" si="0"/>
        <v>43000000</v>
      </c>
    </row>
    <row r="8" spans="1:8" ht="31.5">
      <c r="A8" s="45">
        <v>4</v>
      </c>
      <c r="B8" s="17" t="s">
        <v>305</v>
      </c>
      <c r="C8" s="45" t="s">
        <v>550</v>
      </c>
      <c r="D8" s="45">
        <v>54</v>
      </c>
      <c r="E8" s="49">
        <v>200000</v>
      </c>
      <c r="F8" s="47">
        <f>D8*E8</f>
        <v>10800000</v>
      </c>
      <c r="G8" s="47">
        <v>43</v>
      </c>
      <c r="H8" s="47">
        <f t="shared" si="0"/>
        <v>464400000</v>
      </c>
    </row>
    <row r="9" spans="1:8" ht="31.5">
      <c r="A9" s="45">
        <v>5</v>
      </c>
      <c r="B9" s="17" t="s">
        <v>306</v>
      </c>
      <c r="C9" s="45" t="s">
        <v>549</v>
      </c>
      <c r="D9" s="45">
        <v>54</v>
      </c>
      <c r="E9" s="49">
        <v>20000</v>
      </c>
      <c r="F9" s="47">
        <f>D9*E9</f>
        <v>1080000</v>
      </c>
      <c r="G9" s="47">
        <v>43</v>
      </c>
      <c r="H9" s="47">
        <f t="shared" si="0"/>
        <v>46440000</v>
      </c>
    </row>
    <row r="10" spans="1:8" ht="31.5">
      <c r="A10" s="45">
        <v>6</v>
      </c>
      <c r="B10" s="17" t="s">
        <v>307</v>
      </c>
      <c r="C10" s="45" t="s">
        <v>308</v>
      </c>
      <c r="D10" s="45">
        <v>1</v>
      </c>
      <c r="E10" s="49">
        <v>10000000</v>
      </c>
      <c r="F10" s="47">
        <f>D10*E10</f>
        <v>10000000</v>
      </c>
      <c r="G10" s="47">
        <v>43</v>
      </c>
      <c r="H10" s="47">
        <f t="shared" si="0"/>
        <v>430000000</v>
      </c>
    </row>
    <row r="11" spans="1:8" ht="31.5">
      <c r="A11" s="45">
        <v>7</v>
      </c>
      <c r="B11" s="17" t="s">
        <v>309</v>
      </c>
      <c r="C11" s="45"/>
      <c r="D11" s="45"/>
      <c r="E11" s="49"/>
      <c r="F11" s="46">
        <v>8000000</v>
      </c>
      <c r="G11" s="47">
        <v>43</v>
      </c>
      <c r="H11" s="47">
        <f t="shared" si="0"/>
        <v>344000000</v>
      </c>
    </row>
    <row r="12" spans="1:8" ht="15.75">
      <c r="A12" s="45">
        <v>8</v>
      </c>
      <c r="B12" s="17" t="s">
        <v>310</v>
      </c>
      <c r="C12" s="45" t="s">
        <v>303</v>
      </c>
      <c r="D12" s="45">
        <v>2</v>
      </c>
      <c r="E12" s="49">
        <v>1500000</v>
      </c>
      <c r="F12" s="46">
        <f>D12*E12</f>
        <v>3000000</v>
      </c>
      <c r="G12" s="47">
        <v>43</v>
      </c>
      <c r="H12" s="47">
        <f t="shared" si="0"/>
        <v>129000000</v>
      </c>
    </row>
    <row r="13" spans="1:8" ht="15.75">
      <c r="A13" s="45">
        <v>9</v>
      </c>
      <c r="B13" s="17" t="s">
        <v>311</v>
      </c>
      <c r="C13" s="45" t="s">
        <v>303</v>
      </c>
      <c r="D13" s="45">
        <v>2</v>
      </c>
      <c r="E13" s="49">
        <v>500000</v>
      </c>
      <c r="F13" s="46">
        <f>D13*E13</f>
        <v>1000000</v>
      </c>
      <c r="G13" s="47">
        <v>43</v>
      </c>
      <c r="H13" s="47">
        <f t="shared" si="0"/>
        <v>43000000</v>
      </c>
    </row>
    <row r="14" spans="1:8" ht="31.5">
      <c r="A14" s="45">
        <v>10</v>
      </c>
      <c r="B14" s="17" t="s">
        <v>312</v>
      </c>
      <c r="C14" s="45" t="s">
        <v>313</v>
      </c>
      <c r="D14" s="45">
        <v>10</v>
      </c>
      <c r="E14" s="49">
        <v>2000000</v>
      </c>
      <c r="F14" s="46">
        <f>D14*E14</f>
        <v>20000000</v>
      </c>
      <c r="G14" s="47">
        <v>43</v>
      </c>
      <c r="H14" s="47">
        <f t="shared" si="0"/>
        <v>860000000</v>
      </c>
    </row>
    <row r="15" spans="1:8" ht="15.75">
      <c r="A15" s="45">
        <v>11</v>
      </c>
      <c r="B15" s="17" t="s">
        <v>314</v>
      </c>
      <c r="C15" s="45" t="s">
        <v>303</v>
      </c>
      <c r="D15" s="45">
        <v>50</v>
      </c>
      <c r="E15" s="49">
        <v>200000</v>
      </c>
      <c r="F15" s="46">
        <f>D15*E15</f>
        <v>10000000</v>
      </c>
      <c r="G15" s="47">
        <v>43</v>
      </c>
      <c r="H15" s="47">
        <f t="shared" si="0"/>
        <v>430000000</v>
      </c>
    </row>
    <row r="16" spans="1:8" ht="31.5">
      <c r="A16" s="45">
        <v>12</v>
      </c>
      <c r="B16" s="17" t="s">
        <v>315</v>
      </c>
      <c r="C16" s="45" t="s">
        <v>316</v>
      </c>
      <c r="D16" s="45">
        <v>50</v>
      </c>
      <c r="E16" s="49">
        <v>150000</v>
      </c>
      <c r="F16" s="46">
        <f>E16*D16</f>
        <v>7500000</v>
      </c>
      <c r="G16" s="47">
        <v>43</v>
      </c>
      <c r="H16" s="47">
        <f t="shared" si="0"/>
        <v>322500000</v>
      </c>
    </row>
    <row r="17" spans="1:8" ht="47.25">
      <c r="A17" s="45">
        <v>13</v>
      </c>
      <c r="B17" s="17" t="s">
        <v>317</v>
      </c>
      <c r="C17" s="45" t="s">
        <v>303</v>
      </c>
      <c r="D17" s="45">
        <v>20</v>
      </c>
      <c r="E17" s="49">
        <v>100000</v>
      </c>
      <c r="F17" s="46">
        <f>D17*E17</f>
        <v>2000000</v>
      </c>
      <c r="G17" s="47">
        <v>43</v>
      </c>
      <c r="H17" s="47">
        <f t="shared" si="0"/>
        <v>86000000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8"/>
  <sheetViews>
    <sheetView zoomScalePageLayoutView="0" workbookViewId="0" topLeftCell="A1">
      <selection activeCell="I22" sqref="I22"/>
    </sheetView>
  </sheetViews>
  <sheetFormatPr defaultColWidth="9.140625" defaultRowHeight="15"/>
  <cols>
    <col min="1" max="1" width="6.421875" style="0" customWidth="1"/>
    <col min="2" max="2" width="33.140625" style="0" customWidth="1"/>
    <col min="3" max="3" width="11.7109375" style="0" customWidth="1"/>
    <col min="4" max="4" width="14.421875" style="0" customWidth="1"/>
    <col min="5" max="5" width="12.28125" style="0" customWidth="1"/>
    <col min="6" max="6" width="11.140625" style="0" customWidth="1"/>
    <col min="7" max="7" width="15.421875" style="0" customWidth="1"/>
    <col min="8" max="8" width="20.7109375" style="0" customWidth="1"/>
  </cols>
  <sheetData>
    <row r="1" spans="1:8" ht="21" customHeight="1">
      <c r="A1" s="350" t="s">
        <v>327</v>
      </c>
      <c r="B1" s="350"/>
      <c r="C1" s="350"/>
      <c r="D1" s="350"/>
      <c r="E1" s="350"/>
      <c r="F1" s="350"/>
      <c r="G1" s="350"/>
      <c r="H1" s="350"/>
    </row>
    <row r="2" spans="1:8" ht="26.25" customHeight="1">
      <c r="A2" s="380"/>
      <c r="B2" s="380"/>
      <c r="C2" s="380"/>
      <c r="D2" s="380"/>
      <c r="E2" s="380"/>
      <c r="F2" s="380"/>
      <c r="G2" s="380"/>
      <c r="H2" s="380"/>
    </row>
    <row r="3" spans="1:8" ht="26.25" customHeight="1">
      <c r="A3" s="153"/>
      <c r="B3" s="153"/>
      <c r="C3" s="153"/>
      <c r="D3" s="153"/>
      <c r="E3" s="153"/>
      <c r="F3" s="153"/>
      <c r="G3" s="153"/>
      <c r="H3" s="204" t="s">
        <v>533</v>
      </c>
    </row>
    <row r="4" spans="1:8" ht="31.5">
      <c r="A4" s="42" t="s">
        <v>273</v>
      </c>
      <c r="B4" s="43" t="s">
        <v>324</v>
      </c>
      <c r="C4" s="42" t="s">
        <v>318</v>
      </c>
      <c r="D4" s="42" t="s">
        <v>298</v>
      </c>
      <c r="E4" s="44" t="s">
        <v>299</v>
      </c>
      <c r="F4" s="44" t="s">
        <v>323</v>
      </c>
      <c r="G4" s="58" t="s">
        <v>288</v>
      </c>
      <c r="H4" s="42" t="s">
        <v>300</v>
      </c>
    </row>
    <row r="5" spans="1:8" ht="30" customHeight="1">
      <c r="A5" s="42"/>
      <c r="B5" s="42" t="s">
        <v>321</v>
      </c>
      <c r="C5" s="42"/>
      <c r="D5" s="42"/>
      <c r="E5" s="44"/>
      <c r="F5" s="44"/>
      <c r="G5" s="53">
        <f>SUM(G6:G18)</f>
        <v>1499040000</v>
      </c>
      <c r="H5" s="57"/>
    </row>
    <row r="6" spans="1:8" ht="24" customHeight="1">
      <c r="A6" s="45">
        <v>1</v>
      </c>
      <c r="B6" s="17" t="s">
        <v>301</v>
      </c>
      <c r="C6" s="45" t="s">
        <v>319</v>
      </c>
      <c r="D6" s="45">
        <v>10</v>
      </c>
      <c r="E6" s="46">
        <v>450000</v>
      </c>
      <c r="F6" s="56">
        <v>8</v>
      </c>
      <c r="G6" s="47">
        <f>E6*D6*F6</f>
        <v>36000000</v>
      </c>
      <c r="H6" s="377"/>
    </row>
    <row r="7" spans="1:8" ht="35.25" customHeight="1">
      <c r="A7" s="45">
        <v>2</v>
      </c>
      <c r="B7" s="17" t="s">
        <v>302</v>
      </c>
      <c r="C7" s="45" t="s">
        <v>303</v>
      </c>
      <c r="D7" s="45">
        <v>10</v>
      </c>
      <c r="E7" s="49">
        <v>5000000</v>
      </c>
      <c r="F7" s="56">
        <v>8</v>
      </c>
      <c r="G7" s="47">
        <f>E7*D7*F7</f>
        <v>400000000</v>
      </c>
      <c r="H7" s="378"/>
    </row>
    <row r="8" spans="1:8" ht="39" customHeight="1">
      <c r="A8" s="45">
        <v>3</v>
      </c>
      <c r="B8" s="17" t="s">
        <v>322</v>
      </c>
      <c r="C8" s="45" t="s">
        <v>303</v>
      </c>
      <c r="D8" s="45">
        <v>10</v>
      </c>
      <c r="E8" s="49">
        <v>200000</v>
      </c>
      <c r="F8" s="56">
        <v>8</v>
      </c>
      <c r="G8" s="47">
        <f>E8*D8*F8</f>
        <v>16000000</v>
      </c>
      <c r="H8" s="377"/>
    </row>
    <row r="9" spans="1:8" ht="31.5">
      <c r="A9" s="45">
        <v>4</v>
      </c>
      <c r="B9" s="17" t="s">
        <v>305</v>
      </c>
      <c r="C9" s="45" t="s">
        <v>325</v>
      </c>
      <c r="D9" s="45">
        <v>204</v>
      </c>
      <c r="E9" s="49">
        <v>200000</v>
      </c>
      <c r="F9" s="56">
        <v>8</v>
      </c>
      <c r="G9" s="47">
        <f aca="true" t="shared" si="0" ref="G9:G16">E9*D9*F9</f>
        <v>326400000</v>
      </c>
      <c r="H9" s="378"/>
    </row>
    <row r="10" spans="1:8" ht="43.5" customHeight="1">
      <c r="A10" s="45">
        <v>5</v>
      </c>
      <c r="B10" s="17" t="s">
        <v>306</v>
      </c>
      <c r="C10" s="45" t="s">
        <v>326</v>
      </c>
      <c r="D10" s="45">
        <v>204</v>
      </c>
      <c r="E10" s="49">
        <v>20000</v>
      </c>
      <c r="F10" s="56">
        <v>8</v>
      </c>
      <c r="G10" s="47">
        <f t="shared" si="0"/>
        <v>32640000</v>
      </c>
      <c r="H10" s="48"/>
    </row>
    <row r="11" spans="1:8" ht="36.75" customHeight="1">
      <c r="A11" s="45">
        <v>6</v>
      </c>
      <c r="B11" s="17" t="s">
        <v>307</v>
      </c>
      <c r="C11" s="45" t="s">
        <v>308</v>
      </c>
      <c r="D11" s="45">
        <v>1</v>
      </c>
      <c r="E11" s="49">
        <v>10000000</v>
      </c>
      <c r="F11" s="56">
        <v>8</v>
      </c>
      <c r="G11" s="47">
        <f t="shared" si="0"/>
        <v>80000000</v>
      </c>
      <c r="H11" s="50"/>
    </row>
    <row r="12" spans="1:8" ht="31.5">
      <c r="A12" s="45">
        <v>7</v>
      </c>
      <c r="B12" s="17" t="s">
        <v>309</v>
      </c>
      <c r="C12" s="45" t="s">
        <v>308</v>
      </c>
      <c r="D12" s="45">
        <v>1</v>
      </c>
      <c r="E12" s="49">
        <v>8000000</v>
      </c>
      <c r="F12" s="56">
        <v>8</v>
      </c>
      <c r="G12" s="47">
        <f t="shared" si="0"/>
        <v>64000000</v>
      </c>
      <c r="H12" s="50"/>
    </row>
    <row r="13" spans="1:8" ht="27.75" customHeight="1">
      <c r="A13" s="45">
        <v>8</v>
      </c>
      <c r="B13" s="17" t="s">
        <v>310</v>
      </c>
      <c r="C13" s="45" t="s">
        <v>303</v>
      </c>
      <c r="D13" s="45">
        <v>2</v>
      </c>
      <c r="E13" s="49">
        <v>1500000</v>
      </c>
      <c r="F13" s="56">
        <v>8</v>
      </c>
      <c r="G13" s="47">
        <f t="shared" si="0"/>
        <v>24000000</v>
      </c>
      <c r="H13" s="377"/>
    </row>
    <row r="14" spans="1:8" ht="27.75" customHeight="1">
      <c r="A14" s="45">
        <v>9</v>
      </c>
      <c r="B14" s="17" t="s">
        <v>311</v>
      </c>
      <c r="C14" s="45" t="s">
        <v>303</v>
      </c>
      <c r="D14" s="45">
        <v>2</v>
      </c>
      <c r="E14" s="49">
        <v>500000</v>
      </c>
      <c r="F14" s="56">
        <v>8</v>
      </c>
      <c r="G14" s="47">
        <f t="shared" si="0"/>
        <v>8000000</v>
      </c>
      <c r="H14" s="379"/>
    </row>
    <row r="15" spans="1:8" ht="22.5" customHeight="1">
      <c r="A15" s="45">
        <v>10</v>
      </c>
      <c r="B15" s="17" t="s">
        <v>312</v>
      </c>
      <c r="C15" s="45" t="s">
        <v>313</v>
      </c>
      <c r="D15" s="45">
        <v>10</v>
      </c>
      <c r="E15" s="49">
        <v>2000000</v>
      </c>
      <c r="F15" s="56">
        <v>8</v>
      </c>
      <c r="G15" s="47">
        <f t="shared" si="0"/>
        <v>160000000</v>
      </c>
      <c r="H15" s="379"/>
    </row>
    <row r="16" spans="1:8" ht="21.75" customHeight="1">
      <c r="A16" s="45">
        <v>11</v>
      </c>
      <c r="B16" s="17" t="s">
        <v>314</v>
      </c>
      <c r="C16" s="45" t="s">
        <v>303</v>
      </c>
      <c r="D16" s="45">
        <v>200</v>
      </c>
      <c r="E16" s="49">
        <v>200000</v>
      </c>
      <c r="F16" s="56">
        <v>8</v>
      </c>
      <c r="G16" s="47">
        <f t="shared" si="0"/>
        <v>320000000</v>
      </c>
      <c r="H16" s="378"/>
    </row>
    <row r="17" spans="1:8" ht="31.5">
      <c r="A17" s="45">
        <v>12</v>
      </c>
      <c r="B17" s="17" t="s">
        <v>315</v>
      </c>
      <c r="C17" s="45" t="s">
        <v>316</v>
      </c>
      <c r="D17" s="45">
        <v>204</v>
      </c>
      <c r="E17" s="49">
        <v>300000</v>
      </c>
      <c r="F17" s="56">
        <v>8</v>
      </c>
      <c r="G17" s="47">
        <f>E17*10*F17</f>
        <v>24000000</v>
      </c>
      <c r="H17" s="51"/>
    </row>
    <row r="18" spans="1:8" ht="31.5">
      <c r="A18" s="45">
        <v>13</v>
      </c>
      <c r="B18" s="17" t="s">
        <v>317</v>
      </c>
      <c r="C18" s="45" t="s">
        <v>303</v>
      </c>
      <c r="D18" s="45">
        <v>20</v>
      </c>
      <c r="E18" s="49">
        <v>100000</v>
      </c>
      <c r="F18" s="56">
        <v>8</v>
      </c>
      <c r="G18" s="47">
        <f>E18*10*F18</f>
        <v>8000000</v>
      </c>
      <c r="H18" s="52"/>
    </row>
  </sheetData>
  <sheetProtection/>
  <mergeCells count="4">
    <mergeCell ref="H6:H7"/>
    <mergeCell ref="H8:H9"/>
    <mergeCell ref="H13:H16"/>
    <mergeCell ref="A1:H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8"/>
  <sheetViews>
    <sheetView zoomScalePageLayoutView="0" workbookViewId="0" topLeftCell="A1">
      <selection activeCell="A5" sqref="A5:D5"/>
    </sheetView>
  </sheetViews>
  <sheetFormatPr defaultColWidth="9.140625" defaultRowHeight="15"/>
  <cols>
    <col min="1" max="1" width="7.57421875" style="0" customWidth="1"/>
    <col min="2" max="2" width="48.140625" style="0" customWidth="1"/>
    <col min="3" max="3" width="15.140625" style="0" customWidth="1"/>
    <col min="4" max="4" width="14.28125" style="0" customWidth="1"/>
    <col min="5" max="5" width="16.8515625" style="0" customWidth="1"/>
  </cols>
  <sheetData>
    <row r="1" spans="1:5" ht="25.5" customHeight="1">
      <c r="A1" s="350" t="s">
        <v>471</v>
      </c>
      <c r="B1" s="350"/>
      <c r="C1" s="350"/>
      <c r="D1" s="350"/>
      <c r="E1" s="350"/>
    </row>
    <row r="2" spans="1:5" ht="25.5" customHeight="1">
      <c r="A2" s="380"/>
      <c r="B2" s="380"/>
      <c r="C2" s="380"/>
      <c r="D2" s="380"/>
      <c r="E2" s="380"/>
    </row>
    <row r="3" spans="1:5" ht="16.5" customHeight="1">
      <c r="A3" s="381" t="s">
        <v>273</v>
      </c>
      <c r="B3" s="381" t="s">
        <v>320</v>
      </c>
      <c r="C3" s="381" t="s">
        <v>328</v>
      </c>
      <c r="D3" s="382" t="s">
        <v>287</v>
      </c>
      <c r="E3" s="386" t="s">
        <v>288</v>
      </c>
    </row>
    <row r="4" spans="1:5" ht="16.5" customHeight="1">
      <c r="A4" s="381"/>
      <c r="B4" s="381"/>
      <c r="C4" s="381"/>
      <c r="D4" s="382"/>
      <c r="E4" s="387"/>
    </row>
    <row r="5" spans="1:5" ht="24" customHeight="1">
      <c r="A5" s="383" t="s">
        <v>548</v>
      </c>
      <c r="B5" s="384"/>
      <c r="C5" s="384"/>
      <c r="D5" s="385"/>
      <c r="E5" s="62">
        <f>SUM(E6:E9)</f>
        <v>390000000</v>
      </c>
    </row>
    <row r="6" spans="1:5" ht="31.5" customHeight="1">
      <c r="A6" s="59" t="s">
        <v>2</v>
      </c>
      <c r="B6" s="60" t="s">
        <v>122</v>
      </c>
      <c r="C6" s="1" t="s">
        <v>1</v>
      </c>
      <c r="D6" s="33">
        <v>8</v>
      </c>
      <c r="E6" s="61">
        <f>D6*2000000</f>
        <v>16000000</v>
      </c>
    </row>
    <row r="7" spans="1:5" ht="39" customHeight="1">
      <c r="A7" s="59" t="s">
        <v>7</v>
      </c>
      <c r="B7" s="60" t="s">
        <v>329</v>
      </c>
      <c r="C7" s="1" t="s">
        <v>1</v>
      </c>
      <c r="D7" s="33">
        <v>8</v>
      </c>
      <c r="E7" s="61">
        <f aca="true" t="shared" si="0" ref="E7:E18">D7*2000000</f>
        <v>16000000</v>
      </c>
    </row>
    <row r="8" spans="1:5" ht="49.5" customHeight="1">
      <c r="A8" s="59" t="s">
        <v>9</v>
      </c>
      <c r="B8" s="60" t="s">
        <v>124</v>
      </c>
      <c r="C8" s="1" t="s">
        <v>1</v>
      </c>
      <c r="D8" s="33">
        <v>13</v>
      </c>
      <c r="E8" s="61">
        <f t="shared" si="0"/>
        <v>26000000</v>
      </c>
    </row>
    <row r="9" spans="1:5" ht="39.75" customHeight="1">
      <c r="A9" s="59" t="s">
        <v>28</v>
      </c>
      <c r="B9" s="60" t="s">
        <v>208</v>
      </c>
      <c r="C9" s="1"/>
      <c r="D9" s="33"/>
      <c r="E9" s="61">
        <f>SUM(E10:E18)</f>
        <v>332000000</v>
      </c>
    </row>
    <row r="10" spans="1:5" ht="33.75" customHeight="1">
      <c r="A10" s="59" t="s">
        <v>30</v>
      </c>
      <c r="B10" s="60" t="s">
        <v>330</v>
      </c>
      <c r="C10" s="1" t="s">
        <v>1</v>
      </c>
      <c r="D10" s="33">
        <v>20</v>
      </c>
      <c r="E10" s="61">
        <f t="shared" si="0"/>
        <v>40000000</v>
      </c>
    </row>
    <row r="11" spans="1:5" ht="41.25" customHeight="1">
      <c r="A11" s="59" t="s">
        <v>32</v>
      </c>
      <c r="B11" s="60" t="s">
        <v>210</v>
      </c>
      <c r="C11" s="1" t="s">
        <v>1</v>
      </c>
      <c r="D11" s="33">
        <v>30</v>
      </c>
      <c r="E11" s="61">
        <f t="shared" si="0"/>
        <v>60000000</v>
      </c>
    </row>
    <row r="12" spans="1:5" ht="48" customHeight="1">
      <c r="A12" s="59" t="s">
        <v>149</v>
      </c>
      <c r="B12" s="60" t="s">
        <v>331</v>
      </c>
      <c r="C12" s="1" t="s">
        <v>1</v>
      </c>
      <c r="D12" s="33">
        <v>15</v>
      </c>
      <c r="E12" s="61">
        <f t="shared" si="0"/>
        <v>30000000</v>
      </c>
    </row>
    <row r="13" spans="1:5" ht="54" customHeight="1">
      <c r="A13" s="59" t="s">
        <v>150</v>
      </c>
      <c r="B13" s="60" t="s">
        <v>126</v>
      </c>
      <c r="C13" s="1" t="s">
        <v>1</v>
      </c>
      <c r="D13" s="33">
        <v>13</v>
      </c>
      <c r="E13" s="61">
        <f t="shared" si="0"/>
        <v>26000000</v>
      </c>
    </row>
    <row r="14" spans="1:5" ht="61.5" customHeight="1">
      <c r="A14" s="59" t="s">
        <v>161</v>
      </c>
      <c r="B14" s="60" t="s">
        <v>127</v>
      </c>
      <c r="C14" s="1" t="s">
        <v>1</v>
      </c>
      <c r="D14" s="33">
        <v>18</v>
      </c>
      <c r="E14" s="61">
        <f t="shared" si="0"/>
        <v>36000000</v>
      </c>
    </row>
    <row r="15" spans="1:5" ht="61.5" customHeight="1">
      <c r="A15" s="59" t="s">
        <v>162</v>
      </c>
      <c r="B15" s="60" t="s">
        <v>332</v>
      </c>
      <c r="C15" s="1" t="s">
        <v>1</v>
      </c>
      <c r="D15" s="33">
        <v>25</v>
      </c>
      <c r="E15" s="61">
        <f t="shared" si="0"/>
        <v>50000000</v>
      </c>
    </row>
    <row r="16" spans="1:5" ht="61.5" customHeight="1">
      <c r="A16" s="59" t="s">
        <v>211</v>
      </c>
      <c r="B16" s="60" t="s">
        <v>129</v>
      </c>
      <c r="C16" s="1" t="s">
        <v>1</v>
      </c>
      <c r="D16" s="33">
        <v>30</v>
      </c>
      <c r="E16" s="61">
        <f t="shared" si="0"/>
        <v>60000000</v>
      </c>
    </row>
    <row r="17" spans="1:5" ht="30" customHeight="1">
      <c r="A17" s="59" t="s">
        <v>212</v>
      </c>
      <c r="B17" s="60" t="s">
        <v>130</v>
      </c>
      <c r="C17" s="1" t="s">
        <v>1</v>
      </c>
      <c r="D17" s="33">
        <v>5</v>
      </c>
      <c r="E17" s="61">
        <f t="shared" si="0"/>
        <v>10000000</v>
      </c>
    </row>
    <row r="18" spans="1:5" ht="31.5" customHeight="1">
      <c r="A18" s="59" t="s">
        <v>213</v>
      </c>
      <c r="B18" s="60" t="s">
        <v>105</v>
      </c>
      <c r="C18" s="1" t="s">
        <v>1</v>
      </c>
      <c r="D18" s="33">
        <v>10</v>
      </c>
      <c r="E18" s="61">
        <f t="shared" si="0"/>
        <v>20000000</v>
      </c>
    </row>
  </sheetData>
  <sheetProtection/>
  <mergeCells count="7">
    <mergeCell ref="A1:E2"/>
    <mergeCell ref="A3:A4"/>
    <mergeCell ref="B3:B4"/>
    <mergeCell ref="C3:C4"/>
    <mergeCell ref="D3:D4"/>
    <mergeCell ref="A5:D5"/>
    <mergeCell ref="E3: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2020-07-13T10:34:46Z</dcterms:modified>
  <cp:category/>
  <cp:version/>
  <cp:contentType/>
  <cp:contentStatus/>
</cp:coreProperties>
</file>